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7.xml" ContentType="application/vnd.ms-excel.controlproperties+xml"/>
  <Override PartName="/xl/ctrlProps/ctrlProp36.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22.xml" ContentType="application/vnd.ms-excel.controlproperties+xml"/>
  <Override PartName="/xl/ctrlProps/ctrlProp42.xml" ContentType="application/vnd.ms-excel.controlproperties+xml"/>
  <Override PartName="/xl/ctrlProps/ctrlProp39.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D:\WORK\project\IRC\申請\書式\2026\JPN\"/>
    </mc:Choice>
  </mc:AlternateContent>
  <xr:revisionPtr revIDLastSave="0" documentId="13_ncr:1_{3C218259-FD38-458F-9FBB-B2490179CED9}" xr6:coauthVersionLast="47" xr6:coauthVersionMax="47" xr10:uidLastSave="{00000000-0000-0000-0000-000000000000}"/>
  <bookViews>
    <workbookView xWindow="45048" yWindow="480" windowWidth="18348" windowHeight="16044" tabRatio="868"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Application!$B$290</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dropdown'!$N$2:$N$12</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dropdown'!$R$2:$R$151</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dropdown'!$AE$2:$AE$5</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dropdown'!$AN$2:$AN$35</definedName>
    <definedName name="Design">'Std hull dropdown'!$H$2:$H$11</definedName>
    <definedName name="Design1">'Std hull dropdown'!$H$2:$H$138</definedName>
    <definedName name="Dufour">'Std hull dropdown'!$AO$2:$AO$41</definedName>
    <definedName name="E_" localSheetId="19">'Sail Plan calc'!$B$27</definedName>
    <definedName name="Elan">'Std hull dropdown'!$AP$2:$AP$31</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dropdown'!$AV$2:$AV$28</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dropdown'!$BB$4:$BB$44</definedName>
    <definedName name="h_" localSheetId="19">'Sail Plan calc'!$B$23</definedName>
    <definedName name="HallbergRassy">'Std hull dropdown'!$BC$2:$BC$15</definedName>
    <definedName name="Hanse">'Std hull dropdown'!$BD$2:$BD$35</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dropdown'!$BH$2:$BH$5</definedName>
    <definedName name="J_" localSheetId="19">'Sail Plan calc'!$B$28</definedName>
    <definedName name="Jaguar">'Std hull dropdown'!$BJ$2:$BJ$3</definedName>
    <definedName name="Jboats">'Std hull dropdown'!$BI$2:$BI$55</definedName>
    <definedName name="Jeanneau">'Std hull dropdown'!$BK$3:$BK$94</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dropdown'!$BU$2:$BU$7</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dropdown'!$CD$2:$CD$5</definedName>
    <definedName name="Newyork">'Std hull dropdown'!$CE$2:$CE$3</definedName>
    <definedName name="Nicholson">'Std hull dropdown'!$CF$2:$CF$20</definedName>
    <definedName name="Northshore">'Std hull dropdown'!$CG$2:$CG$10</definedName>
    <definedName name="NotListedBelow">'Std hull dropdown'!$EN$2:$EN$271</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dropdown'!$CP$2:$CP$7</definedName>
    <definedName name="PoleType_" localSheetId="19">'Sail Plan calc'!$B$39</definedName>
    <definedName name="_xlnm.Print_Area" localSheetId="2">Validation!$A$1:$D$95</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dropdown'!$CU$2:$CU$5</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dropdown'!$EK$2:$EK$70</definedName>
    <definedName name="Y_" localSheetId="19">'Sail Plan calc'!$B$25</definedName>
    <definedName name="Yamaha">'Std hull dropdown'!$EL$2:$EL$9</definedName>
    <definedName name="Young">'Std hull dropdown'!$EM$2:$EM$5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H2" i="3" l="1"/>
  <c r="HG2" i="3"/>
  <c r="HF2" i="3"/>
  <c r="HE2" i="3"/>
  <c r="HD2" i="3"/>
  <c r="HC2" i="3"/>
  <c r="C404" i="1" l="1"/>
  <c r="F133" i="1" s="1"/>
  <c r="H130" i="1"/>
  <c r="CO8" i="2"/>
  <c r="CP3" i="2"/>
  <c r="G116" i="1"/>
  <c r="H13" i="1"/>
  <c r="CO9" i="2" l="1"/>
  <c r="CO3" i="2" s="1"/>
  <c r="DI2" i="3"/>
  <c r="BA42" i="2"/>
  <c r="BA43" i="2"/>
  <c r="G159" i="1"/>
  <c r="EA2" i="2"/>
  <c r="V3" i="2" l="1"/>
  <c r="EB2" i="2" l="1"/>
  <c r="EC2" i="2"/>
  <c r="BR3" i="2"/>
  <c r="E57" i="16" l="1"/>
  <c r="E59" i="16"/>
  <c r="F134" i="1" l="1"/>
  <c r="H131" i="1" l="1"/>
  <c r="B55" i="4" l="1"/>
  <c r="B56" i="4"/>
  <c r="C53" i="4"/>
  <c r="B54" i="4"/>
  <c r="B53" i="4"/>
  <c r="EO2" i="2" l="1"/>
  <c r="EN2" i="2"/>
  <c r="F137"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1" i="4"/>
  <c r="B99" i="4"/>
  <c r="B98" i="4"/>
  <c r="C1608" i="21"/>
  <c r="B95"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54"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D81" i="11" s="1"/>
  <c r="GL2" i="3"/>
  <c r="F124" i="1"/>
  <c r="C403" i="1"/>
  <c r="F120" i="1" s="1"/>
  <c r="F54" i="1"/>
  <c r="B5" i="4" s="1"/>
  <c r="F59" i="1"/>
  <c r="F62" i="1"/>
  <c r="F60" i="1"/>
  <c r="F58" i="1"/>
  <c r="G55" i="1"/>
  <c r="G52" i="1"/>
  <c r="F48" i="1"/>
  <c r="F49" i="1"/>
  <c r="F50" i="1"/>
  <c r="F51" i="1"/>
  <c r="B88" i="4"/>
  <c r="B87" i="4"/>
  <c r="DH2" i="3"/>
  <c r="G86" i="4"/>
  <c r="C93" i="4" s="1"/>
  <c r="F28" i="4"/>
  <c r="B36" i="4" s="1"/>
  <c r="B37" i="4"/>
  <c r="B86" i="4"/>
  <c r="B67" i="4"/>
  <c r="H119" i="1"/>
  <c r="AY11" i="2"/>
  <c r="AY10" i="2"/>
  <c r="AY9" i="2"/>
  <c r="AZ37" i="2"/>
  <c r="AZ39" i="2"/>
  <c r="AV7" i="2"/>
  <c r="AV8" i="2"/>
  <c r="AV9" i="2"/>
  <c r="AV10" i="2"/>
  <c r="AV11" i="2"/>
  <c r="AY12" i="2"/>
  <c r="A2" i="18"/>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17" i="1"/>
  <c r="F147" i="1" s="1"/>
  <c r="D421" i="1"/>
  <c r="F154"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6" i="4" s="1"/>
  <c r="B82" i="4"/>
  <c r="C82" i="4"/>
  <c r="B84" i="4"/>
  <c r="B85" i="4"/>
  <c r="F86" i="4"/>
  <c r="B89" i="4"/>
  <c r="B91" i="4"/>
  <c r="B94" i="4"/>
  <c r="B93" i="4"/>
  <c r="B97" i="4"/>
  <c r="B100" i="4"/>
  <c r="B103" i="4"/>
  <c r="B104" i="4"/>
  <c r="B105" i="4"/>
  <c r="H147" i="1"/>
  <c r="H154" i="1"/>
  <c r="F277" i="1"/>
  <c r="F278" i="1"/>
  <c r="C401" i="1"/>
  <c r="A34" i="17"/>
  <c r="E36" i="13" l="1"/>
  <c r="N25" i="13"/>
  <c r="T25" i="13"/>
  <c r="B291" i="1" s="1"/>
  <c r="U25" i="13"/>
  <c r="C150" i="1"/>
  <c r="C216" i="1"/>
  <c r="C129" i="1"/>
  <c r="C143" i="1"/>
  <c r="C108" i="1"/>
  <c r="C117" i="1"/>
  <c r="L31" i="12"/>
  <c r="M21" i="12"/>
  <c r="F8" i="18" s="1"/>
  <c r="D112" i="14"/>
  <c r="B538" i="1" s="1"/>
  <c r="M101" i="14"/>
  <c r="F366" i="1" s="1"/>
  <c r="R1" i="11"/>
  <c r="S1" i="11"/>
  <c r="B114" i="1" s="1"/>
  <c r="T1" i="11"/>
  <c r="E114" i="1" s="1"/>
  <c r="X28" i="10"/>
  <c r="B199" i="1" s="1"/>
  <c r="Z38" i="10"/>
  <c r="F202" i="1" s="1"/>
  <c r="BA3" i="2"/>
  <c r="AN2" i="3" s="1"/>
  <c r="B59" i="22"/>
  <c r="R1" i="9"/>
  <c r="B18" i="1" s="1"/>
  <c r="J1" i="12"/>
  <c r="K31" i="12"/>
  <c r="H1" i="12"/>
  <c r="B182" i="1" s="1"/>
  <c r="X1" i="12"/>
  <c r="J1" i="9"/>
  <c r="D19" i="1" s="1"/>
  <c r="F176" i="22"/>
  <c r="B96" i="22" s="1"/>
  <c r="F178" i="22"/>
  <c r="C96" i="22" s="1"/>
  <c r="A39" i="16"/>
  <c r="CX2" i="2" s="1"/>
  <c r="I3" i="3" s="1"/>
  <c r="AF3" i="16"/>
  <c r="AF1" i="16" s="1"/>
  <c r="E42" i="16" s="1"/>
  <c r="AV3" i="16"/>
  <c r="AV1" i="16" s="1"/>
  <c r="AW3" i="16"/>
  <c r="AW1" i="16" s="1"/>
  <c r="AU3" i="16"/>
  <c r="AU1" i="16" s="1"/>
  <c r="I1" i="12"/>
  <c r="Q1" i="12"/>
  <c r="D229" i="1" s="1"/>
  <c r="D1" i="12"/>
  <c r="AI3" i="16"/>
  <c r="AI1" i="16" s="1"/>
  <c r="E45" i="16" s="1"/>
  <c r="AG3" i="16"/>
  <c r="AG1" i="16" s="1"/>
  <c r="E43" i="16" s="1"/>
  <c r="Y3" i="16"/>
  <c r="Y1" i="16" s="1"/>
  <c r="E35" i="16" s="1"/>
  <c r="P3" i="16"/>
  <c r="P1" i="16" s="1"/>
  <c r="E26" i="16" s="1"/>
  <c r="O71" i="11"/>
  <c r="B113" i="1" s="1"/>
  <c r="P71" i="11"/>
  <c r="B126" i="1" s="1"/>
  <c r="Q71" i="11"/>
  <c r="B139"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43" i="1" s="1"/>
  <c r="G11" i="12"/>
  <c r="B222" i="1" s="1"/>
  <c r="F175" i="22"/>
  <c r="B95" i="22" s="1"/>
  <c r="L21" i="12"/>
  <c r="F259" i="1" s="1"/>
  <c r="E21" i="12"/>
  <c r="B240"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18" i="1" s="1"/>
  <c r="O11" i="11"/>
  <c r="E133" i="1" s="1"/>
  <c r="Q14" i="13"/>
  <c r="D36" i="13"/>
  <c r="Q1" i="10"/>
  <c r="B90" i="1" s="1"/>
  <c r="D11" i="9"/>
  <c r="B21" i="1" s="1"/>
  <c r="E11" i="12"/>
  <c r="B220" i="1" s="1"/>
  <c r="E1" i="8"/>
  <c r="E41" i="12"/>
  <c r="H56" i="1" s="1"/>
  <c r="N12" i="8"/>
  <c r="F37" i="1" s="1"/>
  <c r="L1" i="14"/>
  <c r="B349" i="1" s="1"/>
  <c r="D31" i="12"/>
  <c r="B292" i="1" s="1"/>
  <c r="G41" i="12"/>
  <c r="Q61" i="14"/>
  <c r="B482" i="1" s="1"/>
  <c r="E112" i="14"/>
  <c r="B533" i="1" s="1"/>
  <c r="T38" i="10"/>
  <c r="X38" i="10"/>
  <c r="B207" i="1" s="1"/>
  <c r="G15" i="10"/>
  <c r="F46" i="1" s="1"/>
  <c r="I112" i="14"/>
  <c r="G289" i="1" s="1"/>
  <c r="S38" i="10"/>
  <c r="L13" i="13"/>
  <c r="E270" i="1" s="1"/>
  <c r="Q1" i="11"/>
  <c r="G158" i="1" s="1"/>
  <c r="G48" i="10"/>
  <c r="P48" i="10"/>
  <c r="L15" i="10"/>
  <c r="B53" i="1" s="1"/>
  <c r="Y38" i="10"/>
  <c r="F207" i="1" s="1"/>
  <c r="F25" i="13"/>
  <c r="G278" i="1" s="1"/>
  <c r="T13" i="13"/>
  <c r="B266" i="1" s="1"/>
  <c r="M13" i="13"/>
  <c r="G270" i="1" s="1"/>
  <c r="G271" i="1" s="1"/>
  <c r="I15" i="10"/>
  <c r="B48" i="1" s="1"/>
  <c r="I48" i="10"/>
  <c r="I1" i="14"/>
  <c r="B346" i="1" s="1"/>
  <c r="F81" i="14"/>
  <c r="B498" i="1" s="1"/>
  <c r="H1" i="13"/>
  <c r="B252" i="1" s="1"/>
  <c r="M21" i="14"/>
  <c r="B395" i="1" s="1"/>
  <c r="J31" i="14"/>
  <c r="B405" i="1" s="1"/>
  <c r="P14" i="13"/>
  <c r="K51" i="14"/>
  <c r="B452" i="1" s="1"/>
  <c r="F71" i="14"/>
  <c r="B488" i="1" s="1"/>
  <c r="H14" i="13"/>
  <c r="K13" i="13"/>
  <c r="C270" i="1" s="1"/>
  <c r="G1" i="13"/>
  <c r="B251" i="1" s="1"/>
  <c r="O81" i="14"/>
  <c r="B507" i="1" s="1"/>
  <c r="S13" i="13"/>
  <c r="G25" i="13"/>
  <c r="G21" i="14"/>
  <c r="B389" i="1" s="1"/>
  <c r="G11" i="14"/>
  <c r="B363" i="1" s="1"/>
  <c r="K36" i="13"/>
  <c r="N61" i="14"/>
  <c r="B479" i="1" s="1"/>
  <c r="V1" i="13"/>
  <c r="E13" i="13"/>
  <c r="J81" i="14"/>
  <c r="B502" i="1" s="1"/>
  <c r="J41" i="14"/>
  <c r="B431" i="1" s="1"/>
  <c r="GP2" i="3"/>
  <c r="GM2" i="3"/>
  <c r="AQ3" i="16"/>
  <c r="AQ1" i="16" s="1"/>
  <c r="E53" i="16" s="1"/>
  <c r="AK3" i="16"/>
  <c r="AK1" i="16" s="1"/>
  <c r="E47" i="16" s="1"/>
  <c r="F1" i="13"/>
  <c r="B250" i="1" s="1"/>
  <c r="O1" i="13"/>
  <c r="B260" i="1" s="1"/>
  <c r="K1" i="9"/>
  <c r="B19" i="1" s="1"/>
  <c r="R25" i="13"/>
  <c r="B287" i="1" s="1"/>
  <c r="F167" i="22"/>
  <c r="B61" i="22" s="1"/>
  <c r="S25" i="13"/>
  <c r="B290" i="1" s="1"/>
  <c r="F1" i="8"/>
  <c r="C3" i="1" s="1"/>
  <c r="T1" i="9"/>
  <c r="B40" i="1" s="1"/>
  <c r="L61" i="14"/>
  <c r="B477" i="1" s="1"/>
  <c r="D41" i="14"/>
  <c r="B421" i="1" s="1"/>
  <c r="F11" i="14"/>
  <c r="B362" i="1" s="1"/>
  <c r="R1" i="10"/>
  <c r="B64" i="1" s="1"/>
  <c r="M11" i="14"/>
  <c r="B368" i="1" s="1"/>
  <c r="M1" i="10"/>
  <c r="B76" i="1" s="1"/>
  <c r="D1" i="9"/>
  <c r="B14" i="1" s="1"/>
  <c r="D1" i="13"/>
  <c r="B248" i="1" s="1"/>
  <c r="H11" i="9"/>
  <c r="U13" i="13"/>
  <c r="D11" i="14"/>
  <c r="B359" i="1" s="1"/>
  <c r="H81" i="14"/>
  <c r="B500" i="1" s="1"/>
  <c r="I51" i="14"/>
  <c r="B450" i="1" s="1"/>
  <c r="S1" i="10"/>
  <c r="F64" i="1" s="1"/>
  <c r="N51" i="14"/>
  <c r="B455" i="1" s="1"/>
  <c r="Y28" i="10"/>
  <c r="M25" i="13"/>
  <c r="B79" i="1" s="1"/>
  <c r="J36" i="13"/>
  <c r="S1" i="9"/>
  <c r="B39" i="1" s="1"/>
  <c r="L1" i="9"/>
  <c r="B36" i="1" s="1"/>
  <c r="N41" i="14"/>
  <c r="B435" i="1" s="1"/>
  <c r="L21" i="14"/>
  <c r="B394" i="1" s="1"/>
  <c r="G112" i="14"/>
  <c r="B535" i="1" s="1"/>
  <c r="U38" i="10"/>
  <c r="C90" i="1" s="1"/>
  <c r="H28" i="10"/>
  <c r="B62" i="1" s="1"/>
  <c r="H1" i="10"/>
  <c r="B71" i="1" s="1"/>
  <c r="I2" i="18"/>
  <c r="I1" i="18" s="1"/>
  <c r="A14" i="18" s="1"/>
  <c r="F180" i="22"/>
  <c r="B97" i="22" s="1"/>
  <c r="F190" i="22"/>
  <c r="B102" i="22" s="1"/>
  <c r="N1" i="13"/>
  <c r="B259" i="1" s="1"/>
  <c r="P1" i="12"/>
  <c r="B229" i="1" s="1"/>
  <c r="E25" i="13"/>
  <c r="G277" i="1" s="1"/>
  <c r="N11" i="12"/>
  <c r="P1" i="13"/>
  <c r="F257" i="1" s="1"/>
  <c r="R1" i="12"/>
  <c r="B230" i="1" s="1"/>
  <c r="L1" i="10"/>
  <c r="B75" i="1" s="1"/>
  <c r="L41" i="14"/>
  <c r="B433" i="1" s="1"/>
  <c r="O1" i="14"/>
  <c r="B354" i="1" s="1"/>
  <c r="H51" i="14"/>
  <c r="B449" i="1" s="1"/>
  <c r="H15" i="10"/>
  <c r="B47" i="1" s="1"/>
  <c r="N1" i="10"/>
  <c r="B77" i="1" s="1"/>
  <c r="K91" i="14"/>
  <c r="B517" i="1" s="1"/>
  <c r="F177" i="22"/>
  <c r="C95" i="22" s="1"/>
  <c r="W1" i="8"/>
  <c r="S14" i="13"/>
  <c r="D76" i="4"/>
  <c r="K81" i="14"/>
  <c r="B503" i="1" s="1"/>
  <c r="E41" i="14"/>
  <c r="B422" i="1" s="1"/>
  <c r="F186" i="22"/>
  <c r="C99" i="22" s="1"/>
  <c r="F19" i="22"/>
  <c r="Q3" i="16"/>
  <c r="Q1" i="16" s="1"/>
  <c r="E27" i="16" s="1"/>
  <c r="W3" i="16"/>
  <c r="W1" i="16" s="1"/>
  <c r="E33" i="16" s="1"/>
  <c r="H71" i="11"/>
  <c r="B133" i="1" s="1"/>
  <c r="L71" i="11"/>
  <c r="E127" i="1" s="1"/>
  <c r="G71" i="11"/>
  <c r="B132" i="1" s="1"/>
  <c r="F71" i="11"/>
  <c r="B131" i="1" s="1"/>
  <c r="D71" i="11"/>
  <c r="B127" i="1" s="1"/>
  <c r="E71" i="11"/>
  <c r="B130" i="1" s="1"/>
  <c r="T3" i="16"/>
  <c r="T1" i="16" s="1"/>
  <c r="E30" i="16" s="1"/>
  <c r="AP3" i="16"/>
  <c r="AP1" i="16" s="1"/>
  <c r="E52" i="16" s="1"/>
  <c r="K71" i="11"/>
  <c r="B136" i="1" s="1"/>
  <c r="J71" i="11"/>
  <c r="B135" i="1" s="1"/>
  <c r="I71" i="11"/>
  <c r="B134" i="1" s="1"/>
  <c r="F67" i="4"/>
  <c r="B74" i="4" s="1"/>
  <c r="N28" i="10"/>
  <c r="B56" i="1" s="1"/>
  <c r="K15" i="10"/>
  <c r="E52" i="1" s="1"/>
  <c r="O38" i="10"/>
  <c r="B28" i="1" s="1"/>
  <c r="CM18" i="2"/>
  <c r="CM3" i="2" s="1"/>
  <c r="CX2" i="3" s="1"/>
  <c r="O48" i="10"/>
  <c r="B205" i="1" s="1"/>
  <c r="Y15" i="10"/>
  <c r="C88" i="1" s="1"/>
  <c r="E38" i="10"/>
  <c r="W15" i="10"/>
  <c r="R48" i="10"/>
  <c r="Q38" i="10"/>
  <c r="B32" i="1" s="1"/>
  <c r="V38" i="10"/>
  <c r="C89" i="1" s="1"/>
  <c r="N48" i="10"/>
  <c r="X1" i="8"/>
  <c r="F12" i="8"/>
  <c r="N38" i="10"/>
  <c r="B26" i="1" s="1"/>
  <c r="E48" i="10"/>
  <c r="B204" i="1" s="1"/>
  <c r="Q15" i="10"/>
  <c r="B55" i="1" s="1"/>
  <c r="L48" i="10"/>
  <c r="G73" i="1" s="1"/>
  <c r="F28" i="10"/>
  <c r="C60" i="1" s="1"/>
  <c r="O15" i="10"/>
  <c r="C55" i="1" s="1"/>
  <c r="J48" i="10"/>
  <c r="V15" i="10"/>
  <c r="G200" i="1" s="1"/>
  <c r="I28" i="10"/>
  <c r="K28" i="10"/>
  <c r="B72" i="1" s="1"/>
  <c r="J38" i="10"/>
  <c r="J15" i="10"/>
  <c r="B49" i="1" s="1"/>
  <c r="E12" i="8"/>
  <c r="K1" i="8"/>
  <c r="Q28" i="10"/>
  <c r="B202" i="1" s="1"/>
  <c r="D38" i="10"/>
  <c r="W28" i="10"/>
  <c r="C58" i="1" s="1"/>
  <c r="J1" i="10"/>
  <c r="L38" i="10"/>
  <c r="U28" i="10"/>
  <c r="T28" i="10"/>
  <c r="D15" i="10"/>
  <c r="B45" i="1" s="1"/>
  <c r="N15" i="10"/>
  <c r="C54" i="1" s="1"/>
  <c r="P28" i="10"/>
  <c r="T1" i="8"/>
  <c r="F49" i="22"/>
  <c r="F51" i="22" s="1"/>
  <c r="F55" i="22" s="1"/>
  <c r="C74" i="22" s="1"/>
  <c r="M12" i="8"/>
  <c r="G36" i="1" s="1"/>
  <c r="D1" i="8"/>
  <c r="B1" i="1" s="1"/>
  <c r="F15" i="10"/>
  <c r="R28" i="10"/>
  <c r="B203" i="1" s="1"/>
  <c r="O28" i="10"/>
  <c r="E56" i="1" s="1"/>
  <c r="X15" i="10"/>
  <c r="B91" i="1" s="1"/>
  <c r="D48" i="10"/>
  <c r="B60" i="1" s="1"/>
  <c r="M28" i="10"/>
  <c r="B73" i="1" s="1"/>
  <c r="Q48" i="10"/>
  <c r="G75" i="1" s="1"/>
  <c r="O1" i="10"/>
  <c r="B197" i="1" s="1"/>
  <c r="F1" i="10"/>
  <c r="B68" i="1" s="1"/>
  <c r="E15" i="10"/>
  <c r="C45" i="1" s="1"/>
  <c r="Y1" i="8"/>
  <c r="I1" i="8"/>
  <c r="J1" i="8"/>
  <c r="T15" i="10"/>
  <c r="E57" i="1" s="1"/>
  <c r="U15" i="10"/>
  <c r="B200" i="1" s="1"/>
  <c r="G28" i="10"/>
  <c r="P15" i="10"/>
  <c r="B54" i="1" s="1"/>
  <c r="K48" i="10"/>
  <c r="E28" i="10"/>
  <c r="B59" i="1" s="1"/>
  <c r="P38" i="10"/>
  <c r="B30" i="1" s="1"/>
  <c r="T1" i="10"/>
  <c r="S15" i="10"/>
  <c r="B57" i="1" s="1"/>
  <c r="U1" i="8"/>
  <c r="V1" i="8"/>
  <c r="Q1" i="8"/>
  <c r="K1" i="10"/>
  <c r="B74" i="1" s="1"/>
  <c r="M38" i="10"/>
  <c r="H26" i="1" s="1"/>
  <c r="V28" i="10"/>
  <c r="B206" i="1" s="1"/>
  <c r="I1" i="10"/>
  <c r="G70" i="1" s="1"/>
  <c r="K38" i="10"/>
  <c r="B25" i="1" s="1"/>
  <c r="S28" i="10"/>
  <c r="F38" i="10"/>
  <c r="G71" i="1" s="1"/>
  <c r="H38" i="10"/>
  <c r="D1" i="10"/>
  <c r="B22" i="1" s="1"/>
  <c r="S1" i="8"/>
  <c r="R1" i="8"/>
  <c r="M91" i="14"/>
  <c r="B519" i="1" s="1"/>
  <c r="F61" i="11"/>
  <c r="O31" i="14"/>
  <c r="B413" i="1" s="1"/>
  <c r="D71" i="14"/>
  <c r="B486" i="1" s="1"/>
  <c r="Q11" i="14"/>
  <c r="B379" i="1" s="1"/>
  <c r="D51" i="14"/>
  <c r="B444" i="1" s="1"/>
  <c r="J91" i="14"/>
  <c r="B516" i="1" s="1"/>
  <c r="D31" i="14"/>
  <c r="B400" i="1" s="1"/>
  <c r="I61" i="14"/>
  <c r="B474" i="1" s="1"/>
  <c r="G1" i="14"/>
  <c r="B344" i="1" s="1"/>
  <c r="Y51" i="14"/>
  <c r="B465" i="1" s="1"/>
  <c r="H91" i="14"/>
  <c r="B514" i="1" s="1"/>
  <c r="J21" i="14"/>
  <c r="B392" i="1" s="1"/>
  <c r="O61" i="14"/>
  <c r="B480" i="1" s="1"/>
  <c r="F112" i="14"/>
  <c r="B534" i="1" s="1"/>
  <c r="I81" i="14"/>
  <c r="B501" i="1" s="1"/>
  <c r="E1" i="14"/>
  <c r="B342" i="1" s="1"/>
  <c r="E91" i="14"/>
  <c r="E71" i="14"/>
  <c r="B487" i="1" s="1"/>
  <c r="CA1" i="18"/>
  <c r="A83" i="18" s="1"/>
  <c r="J71" i="14"/>
  <c r="B493" i="1" s="1"/>
  <c r="D11" i="11"/>
  <c r="B118" i="1" s="1"/>
  <c r="G31" i="14"/>
  <c r="B403" i="1" s="1"/>
  <c r="R81" i="14"/>
  <c r="I11" i="14"/>
  <c r="B364" i="1" s="1"/>
  <c r="S51" i="14"/>
  <c r="B458" i="1" s="1"/>
  <c r="K101" i="14"/>
  <c r="C550" i="1" s="1"/>
  <c r="L31" i="14"/>
  <c r="H71" i="14"/>
  <c r="B491" i="1" s="1"/>
  <c r="O11" i="14"/>
  <c r="B377" i="1" s="1"/>
  <c r="Q51" i="14"/>
  <c r="I101" i="14"/>
  <c r="F368" i="1" s="1"/>
  <c r="R31" i="14"/>
  <c r="B418" i="1" s="1"/>
  <c r="G61" i="14"/>
  <c r="B472" i="1" s="1"/>
  <c r="H21" i="11"/>
  <c r="B151" i="1" s="1"/>
  <c r="F61" i="14"/>
  <c r="B471" i="1" s="1"/>
  <c r="G101" i="14"/>
  <c r="B524" i="1" s="1"/>
  <c r="Q81" i="14"/>
  <c r="B509" i="1" s="1"/>
  <c r="F51" i="14"/>
  <c r="B446" i="1" s="1"/>
  <c r="G51" i="14"/>
  <c r="B448" i="1" s="1"/>
  <c r="K1" i="14"/>
  <c r="B348" i="1" s="1"/>
  <c r="F41" i="14"/>
  <c r="B426" i="1" s="1"/>
  <c r="L91" i="14"/>
  <c r="B518" i="1" s="1"/>
  <c r="E21" i="14"/>
  <c r="B387" i="1" s="1"/>
  <c r="R61" i="14"/>
  <c r="P1" i="14"/>
  <c r="B355" i="1" s="1"/>
  <c r="K41" i="14"/>
  <c r="B430" i="1" s="1"/>
  <c r="G81" i="14"/>
  <c r="B499" i="1" s="1"/>
  <c r="K21" i="14"/>
  <c r="B393" i="1" s="1"/>
  <c r="P61" i="14"/>
  <c r="B481" i="1" s="1"/>
  <c r="D1" i="14"/>
  <c r="B468" i="1" s="1"/>
  <c r="Q41" i="14"/>
  <c r="B440" i="1" s="1"/>
  <c r="M81" i="14"/>
  <c r="B505" i="1" s="1"/>
  <c r="O31" i="11"/>
  <c r="M41" i="14"/>
  <c r="B434" i="1" s="1"/>
  <c r="K61" i="14"/>
  <c r="B476" i="1" s="1"/>
  <c r="V51" i="14"/>
  <c r="B462" i="1" s="1"/>
  <c r="I31" i="14"/>
  <c r="B404" i="1" s="1"/>
  <c r="Z2" i="18"/>
  <c r="Z1" i="18" s="1"/>
  <c r="A31" i="18" s="1"/>
  <c r="G41" i="14"/>
  <c r="B427" i="1" s="1"/>
  <c r="S11" i="14"/>
  <c r="B381" i="1" s="1"/>
  <c r="U51" i="14"/>
  <c r="B461" i="1" s="1"/>
  <c r="D101" i="14"/>
  <c r="B521" i="1" s="1"/>
  <c r="M31" i="14"/>
  <c r="B409" i="1" s="1"/>
  <c r="J61" i="14"/>
  <c r="B475" i="1" s="1"/>
  <c r="H1" i="14"/>
  <c r="B345" i="1" s="1"/>
  <c r="Z51" i="14"/>
  <c r="B466" i="1" s="1"/>
  <c r="I91" i="14"/>
  <c r="B515" i="1" s="1"/>
  <c r="S31" i="14"/>
  <c r="B419" i="1" s="1"/>
  <c r="H61" i="14"/>
  <c r="B473" i="1" s="1"/>
  <c r="N1" i="14"/>
  <c r="B353" i="1" s="1"/>
  <c r="I41" i="14"/>
  <c r="B429" i="1" s="1"/>
  <c r="E81" i="14"/>
  <c r="B497" i="1" s="1"/>
  <c r="U11" i="11"/>
  <c r="Q31" i="14"/>
  <c r="B417" i="1" s="1"/>
  <c r="O51" i="14"/>
  <c r="F31" i="14"/>
  <c r="B402" i="1" s="1"/>
  <c r="D21" i="14"/>
  <c r="B386" i="1" s="1"/>
  <c r="N31" i="14"/>
  <c r="B410" i="1" s="1"/>
  <c r="K11" i="14"/>
  <c r="B366" i="1" s="1"/>
  <c r="M51" i="14"/>
  <c r="B454" i="1" s="1"/>
  <c r="E101" i="14"/>
  <c r="B522" i="1" s="1"/>
  <c r="I71" i="14"/>
  <c r="B492" i="1" s="1"/>
  <c r="P11" i="14"/>
  <c r="B378" i="1" s="1"/>
  <c r="R51" i="14"/>
  <c r="B457" i="1" s="1"/>
  <c r="J101" i="14"/>
  <c r="K31" i="14"/>
  <c r="B406" i="1" s="1"/>
  <c r="G71" i="14"/>
  <c r="B489" i="1" s="1"/>
  <c r="V11" i="14"/>
  <c r="B384" i="1" s="1"/>
  <c r="X51" i="14"/>
  <c r="B464" i="1" s="1"/>
  <c r="G91" i="14"/>
  <c r="B513" i="1" s="1"/>
  <c r="P51" i="11"/>
  <c r="L11" i="14"/>
  <c r="B367" i="1" s="1"/>
  <c r="O41" i="14"/>
  <c r="B436" i="1" s="1"/>
  <c r="I21" i="14"/>
  <c r="B391" i="1" s="1"/>
  <c r="J1" i="14"/>
  <c r="B347" i="1" s="1"/>
  <c r="E11" i="14"/>
  <c r="B360" i="1" s="1"/>
  <c r="O21" i="14"/>
  <c r="B397" i="1" s="1"/>
  <c r="E51" i="14"/>
  <c r="B445" i="1" s="1"/>
  <c r="Q1" i="14"/>
  <c r="B356" i="1" s="1"/>
  <c r="E31" i="14"/>
  <c r="B401" i="1" s="1"/>
  <c r="P81" i="14"/>
  <c r="B508" i="1" s="1"/>
  <c r="H11" i="14"/>
  <c r="B361" i="1" s="1"/>
  <c r="J51" i="14"/>
  <c r="B451" i="1" s="1"/>
  <c r="H112" i="14"/>
  <c r="B209" i="1" s="1"/>
  <c r="R41" i="14"/>
  <c r="N81" i="14"/>
  <c r="B506" i="1" s="1"/>
  <c r="N11" i="14"/>
  <c r="B376" i="1" s="1"/>
  <c r="P51" i="14"/>
  <c r="H101" i="14"/>
  <c r="B528" i="1" s="1"/>
  <c r="R1" i="14"/>
  <c r="B357" i="1" s="1"/>
  <c r="F21" i="14"/>
  <c r="B388" i="1" s="1"/>
  <c r="T11" i="14"/>
  <c r="B382" i="1" s="1"/>
  <c r="N1" i="11"/>
  <c r="B157" i="1" s="1"/>
  <c r="CU10" i="2"/>
  <c r="CU11" i="2" s="1"/>
  <c r="F51" i="11"/>
  <c r="P31" i="11"/>
  <c r="I1" i="11"/>
  <c r="B97" i="1" s="1"/>
  <c r="G31" i="11"/>
  <c r="B165" i="1" s="1"/>
  <c r="L11" i="11"/>
  <c r="B111" i="1" s="1"/>
  <c r="H51" i="11"/>
  <c r="E94" i="1" s="1"/>
  <c r="P11" i="11"/>
  <c r="E51" i="11"/>
  <c r="DZ1" i="18"/>
  <c r="A134" i="18" s="1"/>
  <c r="BS1" i="18"/>
  <c r="A75" i="18" s="1"/>
  <c r="Y2" i="18"/>
  <c r="Y1" i="18" s="1"/>
  <c r="A30" i="18" s="1"/>
  <c r="CG1" i="18"/>
  <c r="A89" i="18" s="1"/>
  <c r="D1" i="11"/>
  <c r="H31" i="11"/>
  <c r="B166" i="1" s="1"/>
  <c r="V11" i="11"/>
  <c r="L41" i="11"/>
  <c r="D21" i="11"/>
  <c r="B144" i="1" s="1"/>
  <c r="K61" i="11"/>
  <c r="F1" i="11"/>
  <c r="C95" i="1" s="1"/>
  <c r="F41" i="11"/>
  <c r="BP1" i="18"/>
  <c r="A72" i="18" s="1"/>
  <c r="J2" i="18"/>
  <c r="J1" i="18" s="1"/>
  <c r="A15" i="18" s="1"/>
  <c r="CW1" i="18"/>
  <c r="A105" i="18" s="1"/>
  <c r="BI1" i="18"/>
  <c r="A65" i="18" s="1"/>
  <c r="G41" i="11"/>
  <c r="B160" i="1" s="1"/>
  <c r="J1" i="11"/>
  <c r="B98" i="1" s="1"/>
  <c r="M41" i="11"/>
  <c r="M11" i="11"/>
  <c r="H120" i="1" s="1"/>
  <c r="D51" i="11"/>
  <c r="N21" i="11"/>
  <c r="D41" i="11"/>
  <c r="B171" i="1" s="1"/>
  <c r="CU1" i="18"/>
  <c r="A103" i="18" s="1"/>
  <c r="CI1" i="18"/>
  <c r="A91" i="18" s="1"/>
  <c r="AG2" i="18"/>
  <c r="AG1" i="18" s="1"/>
  <c r="A38" i="18" s="1"/>
  <c r="AO1" i="18"/>
  <c r="A45" i="18" s="1"/>
  <c r="R2" i="18"/>
  <c r="R1" i="18" s="1"/>
  <c r="A23" i="18" s="1"/>
  <c r="F21" i="22"/>
  <c r="F45" i="22" s="1"/>
  <c r="F61" i="22" s="1"/>
  <c r="F62" i="22" s="1"/>
  <c r="O1" i="11"/>
  <c r="B102" i="1" s="1"/>
  <c r="E31" i="11"/>
  <c r="B164" i="1" s="1"/>
  <c r="M71" i="11"/>
  <c r="E41" i="11"/>
  <c r="B172" i="1" s="1"/>
  <c r="E11" i="11"/>
  <c r="B119" i="1" s="1"/>
  <c r="I51" i="11"/>
  <c r="B213" i="1" s="1"/>
  <c r="F21" i="11"/>
  <c r="B146" i="1" s="1"/>
  <c r="K51" i="11"/>
  <c r="B106" i="1" s="1"/>
  <c r="R31" i="11"/>
  <c r="S2" i="18"/>
  <c r="S1" i="18" s="1"/>
  <c r="A24" i="18" s="1"/>
  <c r="CT1" i="18"/>
  <c r="A102" i="18" s="1"/>
  <c r="AB2" i="18"/>
  <c r="AB1" i="18" s="1"/>
  <c r="A33" i="18" s="1"/>
  <c r="BW1" i="18"/>
  <c r="A79" i="18" s="1"/>
  <c r="T31" i="11"/>
  <c r="S31" i="11"/>
  <c r="E168" i="1" s="1"/>
  <c r="N11" i="11"/>
  <c r="E120" i="1" s="1"/>
  <c r="J51" i="11"/>
  <c r="B214" i="1" s="1"/>
  <c r="O21" i="11"/>
  <c r="E147" i="1" s="1"/>
  <c r="E154" i="1" s="1"/>
  <c r="L61" i="11"/>
  <c r="G140" i="1" s="1"/>
  <c r="N31" i="11"/>
  <c r="B169" i="1" s="1"/>
  <c r="I41" i="11"/>
  <c r="M21" i="11"/>
  <c r="AW1" i="18"/>
  <c r="A53" i="18" s="1"/>
  <c r="CN1" i="18"/>
  <c r="A96" i="18" s="1"/>
  <c r="BV1" i="18"/>
  <c r="A78" i="18" s="1"/>
  <c r="AE2" i="18"/>
  <c r="AE1" i="18" s="1"/>
  <c r="A36" i="18" s="1"/>
  <c r="AC2" i="18"/>
  <c r="AC1" i="18" s="1"/>
  <c r="A34" i="18" s="1"/>
  <c r="CO1" i="18"/>
  <c r="A97" i="18" s="1"/>
  <c r="Q41" i="11"/>
  <c r="R41" i="11"/>
  <c r="Q21" i="11"/>
  <c r="F11" i="11"/>
  <c r="B120" i="1" s="1"/>
  <c r="M61" i="11"/>
  <c r="B105" i="1" s="1"/>
  <c r="P1" i="11"/>
  <c r="F31" i="11"/>
  <c r="E164" i="1" s="1"/>
  <c r="J31" i="11"/>
  <c r="I11" i="11"/>
  <c r="B121" i="1" s="1"/>
  <c r="AA2" i="18"/>
  <c r="AA1" i="18" s="1"/>
  <c r="A32" i="18" s="1"/>
  <c r="CE1" i="18"/>
  <c r="A87" i="18" s="1"/>
  <c r="BH1" i="18"/>
  <c r="A64" i="18" s="1"/>
  <c r="CK1" i="18"/>
  <c r="A93" i="18" s="1"/>
  <c r="BY1" i="18"/>
  <c r="A81" i="18" s="1"/>
  <c r="AL1" i="18"/>
  <c r="A42" i="18" s="1"/>
  <c r="J11" i="11"/>
  <c r="B109" i="1" s="1"/>
  <c r="P21" i="11"/>
  <c r="E155" i="1" s="1"/>
  <c r="E61" i="11"/>
  <c r="G21" i="11"/>
  <c r="B147" i="1" s="1"/>
  <c r="H1" i="11"/>
  <c r="K41" i="11"/>
  <c r="E21" i="11"/>
  <c r="B145" i="1" s="1"/>
  <c r="N71" i="11"/>
  <c r="B108" i="1" s="1"/>
  <c r="CD1" i="18"/>
  <c r="A86" i="18" s="1"/>
  <c r="BT1" i="18"/>
  <c r="A76" i="18" s="1"/>
  <c r="DG1" i="18"/>
  <c r="A115" i="18" s="1"/>
  <c r="BD1" i="18"/>
  <c r="A60" i="18" s="1"/>
  <c r="AY1" i="18"/>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5" i="4"/>
  <c r="F24" i="4"/>
  <c r="C30" i="4" s="1"/>
  <c r="B327" i="1"/>
  <c r="B328" i="1" s="1"/>
  <c r="B329" i="1" s="1"/>
  <c r="F276" i="1" s="1"/>
  <c r="C25" i="4"/>
  <c r="BG1" i="18"/>
  <c r="A63" i="18" s="1"/>
  <c r="V2" i="18"/>
  <c r="V1" i="18" s="1"/>
  <c r="A27" i="18" s="1"/>
  <c r="DC1" i="18"/>
  <c r="A111" i="18" s="1"/>
  <c r="CQ1" i="18"/>
  <c r="A99" i="18" s="1"/>
  <c r="AY29" i="2"/>
  <c r="DP8" i="2"/>
  <c r="DP2" i="2" s="1"/>
  <c r="CJ2" i="3" s="1"/>
  <c r="L1" i="11"/>
  <c r="B100" i="1" s="1"/>
  <c r="L51" i="11"/>
  <c r="F101" i="14"/>
  <c r="B523" i="1" s="1"/>
  <c r="T21" i="11"/>
  <c r="B217" i="1" s="1"/>
  <c r="FF2" i="3"/>
  <c r="W1" i="9"/>
  <c r="E18" i="1" s="1"/>
  <c r="R21" i="11"/>
  <c r="V1" i="9"/>
  <c r="E41" i="1" s="1"/>
  <c r="L21" i="11"/>
  <c r="O1" i="9"/>
  <c r="D31" i="11"/>
  <c r="B104" i="1" s="1"/>
  <c r="X2" i="18"/>
  <c r="X1" i="18" s="1"/>
  <c r="A29" i="18" s="1"/>
  <c r="AM1" i="18"/>
  <c r="A43" i="18" s="1"/>
  <c r="BZ1" i="18"/>
  <c r="A82" i="18" s="1"/>
  <c r="C36" i="1"/>
  <c r="B9" i="4" s="1"/>
  <c r="CS1" i="18"/>
  <c r="A101" i="18" s="1"/>
  <c r="DD1" i="18"/>
  <c r="A112" i="18" s="1"/>
  <c r="CY1" i="18"/>
  <c r="A107" i="18" s="1"/>
  <c r="P2" i="18"/>
  <c r="P1" i="18" s="1"/>
  <c r="A21" i="18" s="1"/>
  <c r="BQ1" i="18"/>
  <c r="A73" i="18" s="1"/>
  <c r="F1" i="9"/>
  <c r="B234" i="1" s="1"/>
  <c r="N41" i="11"/>
  <c r="B184" i="1" s="1"/>
  <c r="F2" i="18"/>
  <c r="F1" i="18" s="1"/>
  <c r="A11" i="18" s="1"/>
  <c r="DH1" i="18"/>
  <c r="A116" i="18" s="1"/>
  <c r="DX1" i="18"/>
  <c r="A132" i="18" s="1"/>
  <c r="CH1" i="18"/>
  <c r="A90" i="18" s="1"/>
  <c r="EB1" i="18"/>
  <c r="A136" i="18" s="1"/>
  <c r="AX1" i="18"/>
  <c r="A54" i="18" s="1"/>
  <c r="CD27" i="2"/>
  <c r="N2" i="18"/>
  <c r="N1" i="18" s="1"/>
  <c r="A19" i="18" s="1"/>
  <c r="BM1" i="18"/>
  <c r="A69" i="18" s="1"/>
  <c r="E1" i="9"/>
  <c r="B195" i="1" s="1"/>
  <c r="N51" i="11"/>
  <c r="B177" i="1" s="1"/>
  <c r="DW1" i="18"/>
  <c r="A131" i="18" s="1"/>
  <c r="DB1" i="18"/>
  <c r="A110" i="18" s="1"/>
  <c r="DT1" i="18"/>
  <c r="A128" i="18" s="1"/>
  <c r="DE1" i="18"/>
  <c r="A113" i="18" s="1"/>
  <c r="M2" i="18"/>
  <c r="M1" i="18" s="1"/>
  <c r="A18" i="18" s="1"/>
  <c r="H2" i="18"/>
  <c r="H1" i="18" s="1"/>
  <c r="A13" i="18" s="1"/>
  <c r="G2" i="18"/>
  <c r="G1" i="18" s="1"/>
  <c r="A12" i="18" s="1"/>
  <c r="AU1" i="18"/>
  <c r="A51" i="18" s="1"/>
  <c r="M1" i="11"/>
  <c r="B101" i="1" s="1"/>
  <c r="M51" i="11"/>
  <c r="B176" i="1" s="1"/>
  <c r="DN1" i="18"/>
  <c r="A122" i="18" s="1"/>
  <c r="AH2" i="18"/>
  <c r="AH1" i="18" s="1"/>
  <c r="DI1" i="18"/>
  <c r="A117" i="18" s="1"/>
  <c r="CV1" i="18"/>
  <c r="A104" i="18" s="1"/>
  <c r="F189" i="22"/>
  <c r="B101" i="22" s="1"/>
  <c r="F183" i="22"/>
  <c r="C98" i="22" s="1"/>
  <c r="M31" i="12"/>
  <c r="F192" i="22"/>
  <c r="C102" i="22" s="1"/>
  <c r="H31" i="12"/>
  <c r="T2" i="18"/>
  <c r="T1" i="18" s="1"/>
  <c r="A25" i="18" s="1"/>
  <c r="CZ1" i="18"/>
  <c r="A108" i="18" s="1"/>
  <c r="AN1" i="18"/>
  <c r="A44" i="18" s="1"/>
  <c r="O14" i="13"/>
  <c r="AI2" i="18"/>
  <c r="AI1" i="18" s="1"/>
  <c r="A39" i="18" s="1"/>
  <c r="CX1" i="18"/>
  <c r="A106" i="18" s="1"/>
  <c r="CP1" i="18"/>
  <c r="A98" i="18" s="1"/>
  <c r="AD2" i="18"/>
  <c r="AD1" i="18" s="1"/>
  <c r="A35" i="18" s="1"/>
  <c r="EA1" i="18"/>
  <c r="A135" i="18" s="1"/>
  <c r="DY1" i="18"/>
  <c r="A133" i="18" s="1"/>
  <c r="AV1" i="18"/>
  <c r="A52" i="18" s="1"/>
  <c r="BJ1" i="18"/>
  <c r="A66" i="18" s="1"/>
  <c r="P25" i="13"/>
  <c r="B280" i="1" s="1"/>
  <c r="BU1" i="18"/>
  <c r="A77" i="18" s="1"/>
  <c r="CR1" i="18"/>
  <c r="A100" i="18" s="1"/>
  <c r="M1" i="9"/>
  <c r="B37" i="1" s="1"/>
  <c r="S11" i="11"/>
  <c r="E141" i="1" s="1"/>
  <c r="M31" i="11"/>
  <c r="G61" i="11"/>
  <c r="H118" i="1" s="1"/>
  <c r="Q13" i="13"/>
  <c r="E272" i="1" s="1"/>
  <c r="H36" i="13"/>
  <c r="O2" i="18"/>
  <c r="O1" i="18" s="1"/>
  <c r="A20" i="18" s="1"/>
  <c r="BN1" i="18"/>
  <c r="A70" i="18" s="1"/>
  <c r="S6" i="22"/>
  <c r="F31" i="12"/>
  <c r="B246" i="1" s="1"/>
  <c r="DP1" i="18"/>
  <c r="A124" i="18" s="1"/>
  <c r="AZ1" i="18"/>
  <c r="A56" i="18" s="1"/>
  <c r="DF1" i="18"/>
  <c r="A114" i="18" s="1"/>
  <c r="DU1" i="18"/>
  <c r="A129" i="18" s="1"/>
  <c r="O25" i="13"/>
  <c r="C276" i="1" s="1"/>
  <c r="AS1" i="18"/>
  <c r="A49" i="18" s="1"/>
  <c r="AT1" i="18"/>
  <c r="A50" i="18" s="1"/>
  <c r="CB1" i="18"/>
  <c r="A84" i="18" s="1"/>
  <c r="AK1" i="18"/>
  <c r="A41" i="18" s="1"/>
  <c r="DA1" i="18"/>
  <c r="A109" i="18" s="1"/>
  <c r="DV1" i="18"/>
  <c r="A130" i="18" s="1"/>
  <c r="BR1" i="18"/>
  <c r="A74" i="18" s="1"/>
  <c r="J41" i="12"/>
  <c r="BX1" i="18"/>
  <c r="A80" i="18" s="1"/>
  <c r="W2" i="18"/>
  <c r="W1" i="18" s="1"/>
  <c r="A28" i="18" s="1"/>
  <c r="DO1" i="18"/>
  <c r="A123" i="18" s="1"/>
  <c r="G1" i="9"/>
  <c r="B16" i="1" s="1"/>
  <c r="R11" i="11"/>
  <c r="E140" i="1" s="1"/>
  <c r="P41" i="11"/>
  <c r="U1" i="13"/>
  <c r="B258" i="1" s="1"/>
  <c r="J13" i="13"/>
  <c r="B270" i="1" s="1"/>
  <c r="F184" i="22"/>
  <c r="B99" i="22" s="1"/>
  <c r="F185" i="22"/>
  <c r="B100" i="22" s="1"/>
  <c r="CL1" i="18"/>
  <c r="A94" i="18" s="1"/>
  <c r="BC1" i="18"/>
  <c r="A59" i="18" s="1"/>
  <c r="M14" i="13"/>
  <c r="Q25" i="13"/>
  <c r="B284" i="1" s="1"/>
  <c r="B267" i="1"/>
  <c r="AF2" i="18"/>
  <c r="AF1" i="18" s="1"/>
  <c r="A37" i="18" s="1"/>
  <c r="DR1" i="18"/>
  <c r="A126" i="18" s="1"/>
  <c r="U2" i="18"/>
  <c r="U1" i="18" s="1"/>
  <c r="A26" i="18" s="1"/>
  <c r="BB1" i="18"/>
  <c r="A58" i="18" s="1"/>
  <c r="CF1" i="18"/>
  <c r="A88" i="18" s="1"/>
  <c r="K2" i="18"/>
  <c r="K1" i="18" s="1"/>
  <c r="A16" i="18" s="1"/>
  <c r="CM1" i="18"/>
  <c r="A95" i="18" s="1"/>
  <c r="K14" i="13"/>
  <c r="D25" i="13"/>
  <c r="BA1" i="18"/>
  <c r="A57" i="18" s="1"/>
  <c r="DM1" i="18"/>
  <c r="A121" i="18" s="1"/>
  <c r="CC1" i="18"/>
  <c r="A85" i="18" s="1"/>
  <c r="Q2" i="18"/>
  <c r="Q1" i="18" s="1"/>
  <c r="A22" i="18" s="1"/>
  <c r="U21" i="11"/>
  <c r="O41" i="11"/>
  <c r="E184" i="1" s="1"/>
  <c r="Q1" i="13"/>
  <c r="F258" i="1" s="1"/>
  <c r="M1" i="13"/>
  <c r="B257" i="1" s="1"/>
  <c r="I13" i="13"/>
  <c r="B269" i="1" s="1"/>
  <c r="J1" i="13"/>
  <c r="B254" i="1" s="1"/>
  <c r="H13" i="13"/>
  <c r="AY33" i="2"/>
  <c r="AY28" i="2"/>
  <c r="L41" i="12"/>
  <c r="I1" i="13"/>
  <c r="B253" i="1" s="1"/>
  <c r="L25" i="13"/>
  <c r="B526" i="1" s="1"/>
  <c r="B293" i="1" s="1"/>
  <c r="E1" i="13"/>
  <c r="B249" i="1" s="1"/>
  <c r="K25" i="13"/>
  <c r="BE1" i="18"/>
  <c r="A61" i="18" s="1"/>
  <c r="AQ1" i="18"/>
  <c r="A47" i="18" s="1"/>
  <c r="DJ1" i="18"/>
  <c r="A118" i="18" s="1"/>
  <c r="AJ2" i="18"/>
  <c r="AJ1" i="18" s="1"/>
  <c r="A40" i="18" s="1"/>
  <c r="H41" i="12"/>
  <c r="B10" i="1" s="1"/>
  <c r="G31" i="12"/>
  <c r="F191" i="22"/>
  <c r="C101" i="22" s="1"/>
  <c r="F182" i="22"/>
  <c r="C97" i="22" s="1"/>
  <c r="J31" i="12"/>
  <c r="F194" i="22"/>
  <c r="K41" i="12"/>
  <c r="DS1" i="18"/>
  <c r="A127" i="18" s="1"/>
  <c r="AR1" i="18"/>
  <c r="A48" i="18" s="1"/>
  <c r="L14" i="13"/>
  <c r="DK1" i="18"/>
  <c r="A119" i="18" s="1"/>
  <c r="BO1" i="18"/>
  <c r="A71" i="18" s="1"/>
  <c r="L2" i="18"/>
  <c r="L1" i="18" s="1"/>
  <c r="A17" i="18" s="1"/>
  <c r="BL1" i="18"/>
  <c r="A68" i="18" s="1"/>
  <c r="BF1" i="18"/>
  <c r="A62" i="18" s="1"/>
  <c r="DQ1" i="18"/>
  <c r="A125" i="18" s="1"/>
  <c r="AP1" i="18"/>
  <c r="A46" i="18" s="1"/>
  <c r="CJ1" i="18"/>
  <c r="A92" i="18" s="1"/>
  <c r="DL1" i="18"/>
  <c r="A120" i="18" s="1"/>
  <c r="DX2" i="2"/>
  <c r="FU2" i="3" s="1"/>
  <c r="N1" i="9"/>
  <c r="B38" i="1" s="1"/>
  <c r="T11" i="11"/>
  <c r="Q31" i="11"/>
  <c r="I61" i="11"/>
  <c r="R13" i="13"/>
  <c r="B273" i="1" s="1"/>
  <c r="I36" i="13"/>
  <c r="B190"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62" i="1" s="1"/>
  <c r="G11" i="11"/>
  <c r="B123" i="1" s="1"/>
  <c r="I21" i="11"/>
  <c r="B152" i="1" s="1"/>
  <c r="O51" i="11"/>
  <c r="B178" i="1" s="1"/>
  <c r="J61" i="11"/>
  <c r="S1" i="12"/>
  <c r="G1" i="12"/>
  <c r="B181" i="1" s="1"/>
  <c r="Z11" i="12"/>
  <c r="L11" i="12"/>
  <c r="J21" i="12"/>
  <c r="E31" i="12"/>
  <c r="R1" i="13"/>
  <c r="V13" i="13"/>
  <c r="N13" i="13"/>
  <c r="B271" i="1" s="1"/>
  <c r="H25" i="13"/>
  <c r="P31" i="14"/>
  <c r="B414" i="1" s="1"/>
  <c r="M61" i="14"/>
  <c r="B478" i="1" s="1"/>
  <c r="L12" i="8"/>
  <c r="K12" i="8"/>
  <c r="U1" i="10"/>
  <c r="R15" i="10"/>
  <c r="E55" i="1" s="1"/>
  <c r="L28" i="10"/>
  <c r="G72" i="1" s="1"/>
  <c r="M48" i="10"/>
  <c r="O1" i="12"/>
  <c r="D228" i="1" s="1"/>
  <c r="Y11" i="12"/>
  <c r="K11" i="12"/>
  <c r="B187" i="1" s="1"/>
  <c r="I21" i="12"/>
  <c r="B261" i="1" s="1"/>
  <c r="D41" i="12"/>
  <c r="F1" i="14"/>
  <c r="B343" i="1" s="1"/>
  <c r="H31" i="14"/>
  <c r="E61" i="14"/>
  <c r="B470" i="1" s="1"/>
  <c r="M1" i="8"/>
  <c r="B294" i="1" s="1"/>
  <c r="J12" i="8"/>
  <c r="J28" i="10"/>
  <c r="H48" i="10"/>
  <c r="B84" i="1" s="1"/>
  <c r="F1" i="12"/>
  <c r="D180" i="1" s="1"/>
  <c r="X11" i="12"/>
  <c r="J11" i="12"/>
  <c r="B186" i="1" s="1"/>
  <c r="F41" i="12"/>
  <c r="G76" i="1" s="1"/>
  <c r="M1" i="14"/>
  <c r="B352" i="1" s="1"/>
  <c r="P41" i="14"/>
  <c r="B439" i="1" s="1"/>
  <c r="D81" i="14"/>
  <c r="B496" i="1" s="1"/>
  <c r="L1" i="8"/>
  <c r="I12" i="8"/>
  <c r="P1" i="10"/>
  <c r="M15" i="10"/>
  <c r="E53" i="1" s="1"/>
  <c r="W38" i="10"/>
  <c r="C91" i="1" s="1"/>
  <c r="W1" i="12"/>
  <c r="N1" i="12"/>
  <c r="B228" i="1" s="1"/>
  <c r="E1" i="12"/>
  <c r="B180" i="1" s="1"/>
  <c r="T11" i="12"/>
  <c r="H21" i="12"/>
  <c r="E244" i="1" s="1"/>
  <c r="U11" i="14"/>
  <c r="B383" i="1" s="1"/>
  <c r="H41" i="14"/>
  <c r="B428" i="1" s="1"/>
  <c r="L81" i="14"/>
  <c r="B504" i="1" s="1"/>
  <c r="H1" i="8"/>
  <c r="H12" i="8"/>
  <c r="V1" i="12"/>
  <c r="M1" i="12"/>
  <c r="B227" i="1" s="1"/>
  <c r="D11" i="12"/>
  <c r="S11" i="12"/>
  <c r="I11" i="12"/>
  <c r="E222" i="1" s="1"/>
  <c r="G21" i="12"/>
  <c r="E243" i="1" s="1"/>
  <c r="R11" i="14"/>
  <c r="B380" i="1" s="1"/>
  <c r="W51" i="14"/>
  <c r="B463" i="1" s="1"/>
  <c r="D91" i="14"/>
  <c r="H61" i="11"/>
  <c r="H106" i="1" s="1"/>
  <c r="N14" i="13"/>
  <c r="G1" i="8"/>
  <c r="G12" i="8"/>
  <c r="U1" i="9"/>
  <c r="E17" i="1" s="1"/>
  <c r="I1" i="9"/>
  <c r="G1" i="10"/>
  <c r="B70" i="1" s="1"/>
  <c r="D28" i="10"/>
  <c r="B58" i="1" s="1"/>
  <c r="R38" i="10"/>
  <c r="B33" i="1" s="1"/>
  <c r="Q11" i="11"/>
  <c r="B140" i="1" s="1"/>
  <c r="K21" i="11"/>
  <c r="B154" i="1" s="1"/>
  <c r="L31" i="11"/>
  <c r="E167" i="1" s="1"/>
  <c r="J41" i="11"/>
  <c r="G51" i="11"/>
  <c r="U1" i="12"/>
  <c r="F88" i="1" s="1"/>
  <c r="L1" i="12"/>
  <c r="B226" i="1" s="1"/>
  <c r="AF11" i="12"/>
  <c r="R11" i="12"/>
  <c r="H11" i="12"/>
  <c r="T1" i="13"/>
  <c r="B264" i="1" s="1"/>
  <c r="L1" i="13"/>
  <c r="B256" i="1" s="1"/>
  <c r="D13" i="13"/>
  <c r="B265" i="1" s="1"/>
  <c r="G36" i="13"/>
  <c r="J11" i="14"/>
  <c r="B365" i="1" s="1"/>
  <c r="T51" i="14"/>
  <c r="B459" i="1" s="1"/>
  <c r="F91" i="14"/>
  <c r="M3" i="16"/>
  <c r="M1" i="16" s="1"/>
  <c r="E23" i="16" s="1"/>
  <c r="P1" i="8"/>
  <c r="B7" i="1" s="1"/>
  <c r="D12" i="8"/>
  <c r="Y1" i="9"/>
  <c r="F11" i="9"/>
  <c r="I38" i="10"/>
  <c r="K1" i="11"/>
  <c r="B99" i="1" s="1"/>
  <c r="K11" i="11"/>
  <c r="B110" i="1" s="1"/>
  <c r="J21" i="11"/>
  <c r="B153" i="1" s="1"/>
  <c r="K31" i="11"/>
  <c r="E166" i="1" s="1"/>
  <c r="D61" i="11"/>
  <c r="AB11" i="12"/>
  <c r="Q11" i="12"/>
  <c r="K21" i="12"/>
  <c r="B236" i="1" s="1"/>
  <c r="X13" i="13"/>
  <c r="P13" i="13"/>
  <c r="C272" i="1" s="1"/>
  <c r="G13" i="13"/>
  <c r="B268" i="1" s="1"/>
  <c r="J25" i="13"/>
  <c r="H281" i="1" s="1"/>
  <c r="F36" i="13"/>
  <c r="N21" i="14"/>
  <c r="B396" i="1" s="1"/>
  <c r="L51" i="14"/>
  <c r="B453" i="1" s="1"/>
  <c r="L101" i="14"/>
  <c r="C549" i="1" s="1"/>
  <c r="G11" i="9"/>
  <c r="O1" i="8"/>
  <c r="Q1" i="9"/>
  <c r="H1" i="9"/>
  <c r="B17" i="1" s="1"/>
  <c r="E1" i="10"/>
  <c r="B66" i="1" s="1"/>
  <c r="G1" i="11"/>
  <c r="B212" i="1" s="1"/>
  <c r="H11" i="11"/>
  <c r="B122" i="1" s="1"/>
  <c r="I31" i="11"/>
  <c r="B167" i="1" s="1"/>
  <c r="H41" i="11"/>
  <c r="H116" i="1" s="1"/>
  <c r="T1" i="12"/>
  <c r="F227" i="1" s="1"/>
  <c r="K1" i="12"/>
  <c r="F182" i="1" s="1"/>
  <c r="AA11" i="12"/>
  <c r="P11" i="12"/>
  <c r="D21" i="12"/>
  <c r="B239" i="1" s="1"/>
  <c r="S1" i="13"/>
  <c r="B262" i="1" s="1"/>
  <c r="K1" i="13"/>
  <c r="B255" i="1" s="1"/>
  <c r="W13" i="13"/>
  <c r="O13" i="13"/>
  <c r="B272" i="1" s="1"/>
  <c r="F13" i="13"/>
  <c r="I25" i="13"/>
  <c r="B281" i="1" s="1"/>
  <c r="H21" i="14"/>
  <c r="B390" i="1" s="1"/>
  <c r="D61" i="14"/>
  <c r="B469" i="1" s="1"/>
  <c r="Q3" i="2"/>
  <c r="EU2" i="3" s="1"/>
  <c r="G216" i="1" l="1"/>
  <c r="G95" i="1"/>
  <c r="G150" i="1"/>
  <c r="G212" i="1"/>
  <c r="H144" i="1"/>
  <c r="H151" i="1"/>
  <c r="G120" i="1"/>
  <c r="E148" i="1"/>
  <c r="G129" i="1"/>
  <c r="G143" i="1"/>
  <c r="B560" i="1"/>
  <c r="G117" i="1"/>
  <c r="B546" i="1"/>
  <c r="G108" i="1"/>
  <c r="C547" i="1"/>
  <c r="B532" i="1"/>
  <c r="E530" i="1"/>
  <c r="F367" i="1"/>
  <c r="B44" i="1"/>
  <c r="B116" i="1"/>
  <c r="B13" i="1"/>
  <c r="F45" i="1"/>
  <c r="E205" i="1"/>
  <c r="E203" i="1"/>
  <c r="I2" i="3"/>
  <c r="AT1" i="16"/>
  <c r="E56" i="16" s="1"/>
  <c r="E58" i="16"/>
  <c r="F197" i="1"/>
  <c r="B137" i="1"/>
  <c r="B124" i="1"/>
  <c r="B158" i="1"/>
  <c r="G133" i="1"/>
  <c r="G169" i="1"/>
  <c r="G96" i="1"/>
  <c r="C548" i="1"/>
  <c r="B297" i="1"/>
  <c r="AZ3" i="2"/>
  <c r="AV2" i="3" s="1"/>
  <c r="F176" i="1"/>
  <c r="B88" i="1"/>
  <c r="B529" i="1"/>
  <c r="E531" i="1"/>
  <c r="C533" i="1"/>
  <c r="B559" i="1"/>
  <c r="E529" i="1"/>
  <c r="F196" i="22"/>
  <c r="F204" i="22" s="1"/>
  <c r="B548" i="1"/>
  <c r="B412" i="1"/>
  <c r="B408" i="1"/>
  <c r="B416" i="1"/>
  <c r="B490" i="1"/>
  <c r="B425" i="1"/>
  <c r="B358" i="1"/>
  <c r="B456" i="1"/>
  <c r="B385" i="1"/>
  <c r="B415" i="1"/>
  <c r="B407" i="1"/>
  <c r="B399" i="1"/>
  <c r="B447" i="1"/>
  <c r="B11" i="18"/>
  <c r="B420" i="1"/>
  <c r="B443" i="1"/>
  <c r="B15" i="16"/>
  <c r="B375" i="1"/>
  <c r="B512" i="1"/>
  <c r="B485" i="1"/>
  <c r="B495" i="1"/>
  <c r="B432" i="1"/>
  <c r="B460" i="1"/>
  <c r="B351" i="1"/>
  <c r="B411" i="1"/>
  <c r="B438" i="1"/>
  <c r="B547" i="1"/>
  <c r="B530" i="1"/>
  <c r="D3" i="2"/>
  <c r="P2" i="3" s="1"/>
  <c r="B211" i="1"/>
  <c r="B93" i="1"/>
  <c r="AY32" i="2"/>
  <c r="AY3" i="2" s="1"/>
  <c r="AU2" i="3" s="1"/>
  <c r="CD30" i="2"/>
  <c r="CD3" i="2" s="1"/>
  <c r="B89" i="1"/>
  <c r="C197" i="1"/>
  <c r="G228" i="1"/>
  <c r="D230" i="1"/>
  <c r="B196" i="1"/>
  <c r="B43" i="1"/>
  <c r="D18" i="1"/>
  <c r="D41" i="1"/>
  <c r="B86" i="1"/>
  <c r="B174"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05" i="22"/>
  <c r="F219" i="22"/>
  <c r="F201" i="22"/>
  <c r="F217" i="22"/>
  <c r="F214" i="22"/>
  <c r="F215" i="22"/>
  <c r="F222" i="22"/>
  <c r="F200" i="22"/>
  <c r="F213" i="22"/>
  <c r="F212" i="22"/>
  <c r="F198" i="22"/>
  <c r="F216" i="22"/>
  <c r="F218" i="22"/>
  <c r="F230" i="22" s="1"/>
  <c r="C106" i="22" s="1"/>
  <c r="F197" i="22"/>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<sst xmlns="http://schemas.openxmlformats.org/spreadsheetml/2006/main" count="12835" uniqueCount="5718">
  <si>
    <t>Bow &amp; stern overhangs</t>
  </si>
  <si>
    <t>if no empty wt available</t>
  </si>
  <si>
    <t>verre monolithique</t>
  </si>
  <si>
    <t>bois moulé</t>
  </si>
  <si>
    <t>contreplaqué</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</si>
  <si>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</si>
  <si>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</si>
  <si>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</si>
  <si>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</si>
  <si>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</si>
  <si>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</si>
  <si>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</si>
  <si>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</si>
  <si>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</si>
  <si>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</si>
  <si>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</si>
  <si>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</si>
  <si>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</si>
  <si>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</si>
  <si>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</si>
  <si>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</si>
  <si>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</si>
  <si>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</si>
  <si>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</si>
  <si>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</si>
  <si>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</si>
  <si>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</si>
  <si>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</si>
  <si>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</si>
  <si>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</si>
  <si>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</si>
  <si>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</si>
  <si>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</si>
  <si>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</si>
  <si>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</si>
  <si>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</si>
  <si>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</si>
  <si>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</si>
  <si>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</si>
  <si>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</si>
  <si>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</si>
  <si>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</si>
  <si>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</si>
  <si>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</si>
  <si>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</si>
  <si>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</si>
  <si>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</si>
  <si>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</si>
  <si>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</si>
  <si>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</si>
  <si>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</si>
  <si>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</si>
  <si>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</si>
  <si>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</si>
  <si>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</si>
  <si>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</si>
  <si>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</si>
  <si>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</si>
  <si>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</si>
  <si>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</si>
  <si>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</si>
  <si>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</si>
  <si>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</si>
  <si>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</si>
  <si>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</si>
  <si>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</si>
  <si>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</si>
  <si>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</si>
  <si>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</si>
  <si>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</si>
  <si>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</si>
  <si>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</si>
  <si>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</si>
  <si>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</si>
  <si>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</si>
  <si>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</si>
  <si>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</si>
  <si>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</si>
  <si>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</si>
  <si>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</si>
  <si>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</si>
  <si>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</si>
  <si>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</si>
  <si>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</si>
  <si>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</si>
  <si>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</si>
  <si>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</si>
  <si>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</si>
  <si>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</si>
  <si>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</si>
  <si>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</si>
  <si>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</si>
  <si>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</si>
  <si>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</si>
  <si>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</si>
  <si>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</si>
  <si>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</si>
  <si>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</si>
  <si>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</si>
  <si>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</si>
  <si>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</si>
  <si>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</si>
  <si>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</si>
  <si>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</si>
  <si>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</si>
  <si>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</si>
  <si>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</si>
  <si>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</si>
  <si>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</si>
  <si>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</si>
  <si>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</si>
  <si>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</si>
  <si>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</si>
  <si>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</si>
  <si>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</si>
  <si>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</si>
  <si>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</si>
  <si>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</si>
  <si>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</si>
  <si>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</si>
  <si>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</si>
  <si>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</si>
  <si>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</si>
  <si>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</si>
  <si>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</si>
  <si>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</si>
  <si>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</si>
  <si>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</si>
  <si>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</si>
  <si>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</si>
  <si>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</si>
  <si>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</si>
  <si>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</si>
  <si>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</si>
  <si>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</si>
  <si>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</si>
  <si>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</si>
  <si>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</si>
  <si>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</si>
  <si>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</si>
  <si>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</si>
  <si>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</si>
  <si>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</si>
  <si>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</si>
  <si>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</si>
  <si>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</si>
  <si>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</si>
  <si>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</si>
  <si>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</si>
  <si>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</si>
  <si>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</si>
  <si>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</si>
  <si>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</si>
  <si>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</si>
  <si>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</si>
  <si>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</si>
  <si>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</si>
  <si>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</si>
  <si>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</si>
  <si>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</si>
  <si>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</si>
  <si>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</si>
  <si>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</si>
  <si>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</si>
  <si>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</si>
  <si>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</si>
  <si>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</si>
  <si>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</si>
  <si>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</si>
  <si>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</si>
  <si>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</si>
  <si>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</si>
  <si>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</si>
  <si>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</si>
  <si>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</si>
  <si>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</si>
  <si>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</si>
  <si>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</si>
  <si>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</si>
  <si>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</si>
  <si>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</si>
  <si>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</si>
  <si>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</si>
  <si>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</si>
  <si>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</si>
  <si>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</si>
  <si>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</si>
  <si>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</si>
  <si>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</si>
  <si>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</si>
  <si>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</si>
  <si>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</si>
  <si>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</si>
  <si>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</si>
  <si>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</si>
  <si>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</si>
  <si>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</si>
  <si>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</si>
  <si>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</si>
  <si>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</si>
  <si>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</si>
  <si>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</si>
  <si>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</si>
  <si>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</si>
  <si>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</si>
  <si>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</si>
  <si>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</si>
  <si>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</si>
  <si>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</si>
  <si>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</si>
  <si>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</si>
  <si>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</si>
  <si>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</si>
  <si>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</si>
  <si>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</si>
  <si>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</si>
  <si>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</si>
  <si>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</si>
  <si>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</si>
  <si>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</si>
  <si>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</si>
  <si>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</si>
  <si>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</si>
  <si>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</si>
  <si>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</si>
  <si>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</si>
  <si>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</si>
  <si>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</si>
  <si>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</si>
  <si>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</si>
  <si>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</si>
  <si>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</si>
  <si>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</si>
  <si>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</si>
  <si>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</si>
  <si>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</si>
  <si>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</si>
  <si>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</si>
  <si>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</si>
  <si>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</si>
  <si>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</si>
  <si>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</si>
  <si>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</si>
  <si>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</si>
  <si>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</si>
  <si>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</si>
  <si>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</si>
  <si>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</si>
  <si>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</si>
  <si>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</si>
  <si>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</si>
  <si>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</si>
  <si>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</si>
  <si>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</si>
  <si>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</si>
  <si>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</si>
  <si>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</si>
  <si>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</si>
  <si>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</si>
  <si>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</si>
  <si>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</si>
  <si>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</si>
  <si>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</si>
  <si>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</si>
  <si>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</si>
  <si>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</si>
  <si>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</si>
  <si>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</si>
  <si>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</si>
  <si>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</si>
  <si>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</si>
  <si>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</si>
  <si>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</si>
  <si>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</si>
  <si>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</si>
  <si>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</si>
  <si>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</si>
  <si>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</si>
  <si>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</si>
  <si>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</si>
  <si>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</si>
  <si>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</si>
  <si>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</si>
  <si>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</si>
  <si>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</si>
  <si>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</si>
  <si>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</si>
  <si>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</si>
  <si>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</si>
  <si>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</si>
  <si>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</si>
  <si>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</si>
  <si>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</si>
  <si>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</si>
  <si>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</si>
  <si>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</si>
  <si>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</si>
  <si>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</si>
  <si>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</si>
  <si>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</si>
  <si>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</si>
  <si>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</si>
  <si>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</si>
  <si>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</si>
  <si>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</si>
  <si>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</si>
  <si>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</si>
  <si>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</si>
  <si>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</si>
  <si>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</si>
  <si>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</si>
  <si>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</si>
  <si>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</si>
  <si>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</si>
  <si>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</si>
  <si>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</si>
  <si>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</si>
  <si>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</si>
  <si>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</si>
  <si>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</si>
  <si>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</si>
  <si>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</si>
  <si>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</si>
  <si>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</si>
  <si>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</si>
  <si>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</si>
  <si>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</si>
  <si>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</si>
  <si>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</si>
  <si>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</si>
  <si>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</si>
  <si>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</si>
  <si>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</si>
  <si>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</si>
  <si>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</si>
  <si>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</si>
  <si>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</si>
  <si>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</si>
  <si>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</si>
  <si>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</si>
  <si>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</si>
  <si>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</si>
  <si>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</si>
  <si>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</si>
  <si>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</si>
  <si>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</si>
  <si>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</si>
  <si>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</si>
  <si>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</si>
  <si>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</si>
  <si>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</si>
  <si>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</si>
  <si>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</si>
  <si>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</si>
  <si>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</si>
  <si>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</si>
  <si>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</si>
  <si>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</si>
  <si>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</si>
  <si>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</si>
  <si>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</si>
  <si>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</si>
  <si>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</si>
  <si>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</si>
  <si>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</si>
  <si>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</si>
  <si>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</si>
  <si>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</si>
  <si>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</si>
  <si>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</si>
  <si>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</si>
  <si>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</si>
  <si>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</si>
  <si>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</si>
  <si>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</si>
  <si>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</si>
  <si>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</si>
  <si>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</si>
  <si>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</si>
  <si>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</si>
  <si>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</si>
  <si>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</si>
  <si>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</si>
  <si>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</si>
  <si>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</si>
  <si>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</si>
  <si>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</si>
  <si>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</si>
  <si>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</si>
  <si>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</si>
  <si>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</si>
  <si>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</si>
  <si>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</si>
  <si>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</si>
  <si>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</si>
  <si>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</si>
  <si>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</si>
  <si>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</si>
  <si>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</si>
  <si>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</si>
  <si>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</si>
  <si>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</si>
  <si>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</si>
  <si>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</si>
  <si>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</si>
  <si>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</si>
  <si>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</si>
  <si>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</si>
  <si>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</si>
  <si>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</si>
  <si>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</si>
  <si>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</si>
  <si>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</si>
  <si>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</si>
  <si>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</si>
  <si>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</si>
  <si>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</si>
  <si>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</si>
  <si>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</si>
  <si>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</si>
  <si>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</si>
  <si>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</si>
  <si>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</si>
  <si>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</si>
  <si>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</si>
  <si>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</si>
  <si>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</si>
  <si>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</si>
  <si>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</si>
  <si>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</si>
  <si>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</si>
  <si>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</si>
  <si>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</si>
  <si>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</si>
  <si>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</si>
  <si>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</si>
  <si>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</si>
  <si>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</si>
  <si>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</si>
  <si>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</si>
  <si>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</si>
  <si>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</si>
  <si>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</si>
  <si>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</si>
  <si>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</si>
  <si>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</si>
  <si>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</si>
  <si>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</si>
  <si>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</si>
  <si>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</si>
  <si>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</si>
  <si>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</si>
  <si>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</si>
  <si>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</si>
  <si>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</si>
  <si>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</si>
  <si>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</si>
  <si>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</si>
  <si>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</si>
  <si>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</si>
  <si>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</si>
  <si>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</si>
  <si>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</si>
  <si>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</si>
  <si>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</si>
  <si>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</si>
  <si>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</si>
  <si>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</si>
  <si>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</si>
  <si>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</si>
  <si>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</si>
  <si>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</si>
  <si>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</si>
  <si>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</si>
  <si>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</si>
  <si>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</si>
  <si>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</si>
  <si>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</si>
  <si>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</si>
  <si>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</si>
  <si>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</si>
  <si>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</si>
  <si>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</si>
  <si>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</si>
  <si>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</si>
  <si>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</si>
  <si>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</si>
  <si>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</si>
  <si>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</si>
  <si>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</si>
  <si>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</si>
  <si>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</si>
  <si>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</si>
  <si>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</si>
  <si>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</si>
  <si>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</si>
  <si>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</si>
  <si>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</si>
  <si>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</si>
  <si>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</si>
  <si>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</si>
  <si>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</si>
  <si>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</si>
  <si>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</si>
  <si>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</si>
  <si>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</si>
  <si>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</si>
  <si>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</si>
  <si>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</si>
  <si>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</si>
  <si>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</si>
  <si>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</si>
  <si>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</si>
  <si>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</si>
  <si>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</si>
  <si>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</si>
  <si>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</si>
  <si>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</si>
  <si>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</si>
  <si>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</si>
  <si>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</si>
  <si>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</si>
  <si>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</si>
  <si>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</si>
  <si>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</si>
  <si>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</si>
  <si>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</si>
  <si>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</si>
  <si>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</si>
  <si>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</si>
  <si>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</si>
  <si>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</si>
  <si>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</si>
  <si>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</si>
  <si>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</si>
  <si>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</si>
  <si>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</si>
  <si>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</si>
  <si>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</si>
  <si>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</si>
  <si>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</si>
  <si>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</si>
  <si>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</si>
  <si>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</si>
  <si>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</si>
  <si>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</si>
  <si>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</si>
  <si>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</si>
  <si>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</si>
  <si>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</si>
  <si>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</si>
  <si>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</si>
  <si>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</si>
  <si>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</si>
  <si>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</si>
  <si>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</si>
  <si>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</si>
  <si>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</si>
  <si>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</si>
  <si>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</si>
  <si>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</si>
  <si>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</si>
  <si>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</si>
  <si>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</si>
  <si>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</si>
  <si>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</si>
  <si>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</si>
  <si>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</si>
  <si>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</si>
  <si>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</si>
  <si>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</si>
  <si>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</si>
  <si>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</si>
  <si>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</si>
  <si>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</si>
  <si>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</si>
  <si>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</si>
  <si>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</si>
  <si>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</si>
  <si>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</si>
  <si>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</si>
  <si>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</si>
  <si>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</si>
  <si>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</si>
  <si>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</si>
  <si>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</si>
  <si>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</si>
  <si>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</si>
  <si>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</si>
  <si>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</si>
  <si>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</si>
  <si>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</si>
  <si>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</si>
  <si>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</si>
  <si>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</si>
  <si>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</si>
  <si>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</si>
  <si>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</si>
  <si>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</si>
  <si>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</si>
  <si>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</si>
  <si>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</si>
  <si>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</si>
  <si>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</si>
  <si>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</si>
  <si>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</si>
  <si>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</si>
  <si>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</si>
  <si>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</si>
  <si>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</si>
  <si>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</si>
  <si>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</si>
  <si>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</si>
  <si>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</si>
  <si>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</si>
  <si>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</si>
  <si>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</si>
  <si>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</si>
  <si>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</si>
  <si>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</si>
  <si>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</si>
  <si>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</si>
  <si>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</si>
  <si>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</si>
  <si>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</si>
  <si>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</si>
  <si>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</si>
  <si>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</si>
  <si>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</si>
  <si>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</si>
  <si>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</si>
  <si>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</si>
  <si>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</si>
  <si>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</si>
  <si>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</si>
  <si>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</si>
  <si>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</si>
  <si>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</si>
  <si>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</si>
  <si>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</si>
  <si>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</si>
  <si>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</si>
  <si>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</si>
  <si>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</si>
  <si>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</si>
  <si>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</si>
  <si>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</si>
  <si>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</si>
  <si>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</si>
  <si>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</si>
  <si>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</si>
  <si>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</si>
  <si>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</si>
  <si>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</si>
  <si>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</si>
  <si>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</si>
  <si>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</si>
  <si>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</si>
  <si>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</si>
  <si>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</si>
  <si>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</si>
  <si>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</si>
  <si>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</si>
  <si>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</si>
  <si>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</si>
  <si>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</si>
  <si>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</si>
  <si>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</si>
  <si>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</si>
  <si>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</si>
  <si>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</si>
  <si>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</si>
  <si>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</si>
  <si>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</si>
  <si>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</si>
  <si>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</si>
  <si>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</si>
  <si>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</si>
  <si>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</si>
  <si>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</si>
  <si>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</si>
  <si>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</si>
  <si>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</si>
  <si>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</si>
  <si>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</si>
  <si>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</si>
  <si>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</si>
  <si>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</si>
  <si>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</si>
  <si>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</si>
  <si>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</si>
  <si>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</si>
  <si>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</si>
  <si>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</si>
  <si>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</si>
  <si>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</si>
  <si>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</si>
  <si>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</si>
  <si>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</si>
  <si>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</si>
  <si>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</si>
  <si>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</si>
  <si>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</si>
  <si>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</si>
  <si>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</si>
  <si>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</si>
  <si>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</si>
  <si>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</si>
  <si>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</si>
  <si>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</si>
  <si>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</si>
  <si>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</si>
  <si>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</si>
  <si>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</si>
  <si>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</si>
  <si>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</si>
  <si>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</si>
  <si>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</si>
  <si>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</si>
  <si>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</si>
  <si>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</si>
  <si>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</si>
  <si>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</si>
  <si>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</si>
  <si>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</si>
  <si>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</si>
  <si>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</si>
  <si>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</si>
  <si>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</si>
  <si>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</si>
  <si>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</si>
  <si>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</si>
  <si>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</si>
  <si>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</si>
  <si>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</si>
  <si>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</si>
  <si>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</si>
  <si>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</si>
  <si>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</si>
  <si>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</si>
  <si>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</si>
  <si>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</si>
  <si>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</si>
  <si>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</si>
  <si>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</si>
  <si>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</si>
  <si>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</si>
  <si>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</si>
  <si>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</si>
  <si>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</si>
  <si>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</si>
  <si>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</si>
  <si>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</si>
  <si>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</si>
  <si>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</si>
  <si>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</si>
  <si>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</si>
  <si>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</si>
  <si>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</si>
  <si>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</si>
  <si>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</si>
  <si>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</si>
  <si>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</si>
  <si>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</si>
  <si>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</si>
  <si>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</si>
  <si>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</si>
  <si>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</si>
  <si>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</si>
  <si>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</si>
  <si>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</si>
  <si>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</si>
  <si>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</si>
  <si>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</si>
  <si>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</si>
  <si>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</si>
  <si>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</si>
  <si>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</si>
  <si>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</si>
  <si>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</si>
  <si>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</si>
  <si>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</si>
  <si>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</si>
  <si>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</si>
  <si>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</si>
  <si>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</si>
  <si>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</si>
  <si>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</si>
  <si>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</si>
  <si>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</si>
  <si>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</si>
  <si>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</si>
  <si>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</si>
  <si>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</si>
  <si>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</si>
  <si>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</si>
  <si>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</si>
  <si>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</si>
  <si>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</si>
  <si>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</si>
  <si>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</si>
  <si>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</si>
  <si>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</si>
  <si>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</si>
  <si>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</si>
  <si>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</si>
  <si>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</si>
  <si>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</si>
  <si>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</si>
  <si>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</si>
  <si>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</si>
  <si>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</si>
  <si>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</si>
  <si>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</si>
  <si>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</si>
  <si>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</si>
  <si>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</si>
  <si>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</si>
  <si>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</si>
  <si>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</si>
  <si>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</si>
  <si>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</si>
  <si>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</si>
  <si>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</si>
  <si>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</si>
  <si>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</si>
  <si>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</si>
  <si>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</si>
  <si>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</si>
  <si>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</si>
  <si>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</si>
  <si>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</si>
  <si>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</si>
  <si>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</si>
  <si>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</si>
  <si>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</si>
  <si>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</si>
  <si>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</si>
  <si>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</si>
  <si>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</si>
  <si>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</si>
  <si>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</si>
  <si>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</si>
  <si>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</si>
  <si>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</si>
  <si>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</si>
  <si>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</si>
  <si>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</si>
  <si>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</si>
  <si>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</si>
  <si>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</si>
  <si>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</si>
  <si>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</si>
  <si>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</si>
  <si>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</si>
  <si>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</si>
  <si>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</si>
  <si>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</si>
  <si>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</si>
  <si>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</si>
  <si>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</si>
  <si>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</si>
  <si>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</si>
  <si>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</si>
  <si>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</si>
  <si>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</si>
  <si>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</si>
  <si>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</si>
  <si>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</si>
  <si>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</si>
  <si>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</si>
  <si>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</si>
  <si>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</si>
  <si>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</si>
  <si>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</si>
  <si>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</si>
  <si>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</si>
  <si>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</si>
  <si>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</si>
  <si>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</si>
  <si>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</si>
  <si>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</si>
  <si>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</si>
  <si>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</si>
  <si>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</si>
  <si>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</si>
  <si>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</si>
  <si>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</si>
  <si>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</si>
  <si>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</si>
  <si>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</si>
  <si>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</si>
  <si>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</si>
  <si>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</si>
  <si>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</si>
  <si>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</si>
  <si>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</si>
  <si>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</si>
  <si>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</si>
  <si>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</si>
  <si>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</si>
  <si>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</si>
  <si>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</si>
  <si>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</si>
  <si>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</si>
  <si>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</si>
  <si>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</si>
  <si>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</si>
  <si>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</si>
  <si>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</si>
  <si>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</si>
  <si>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</si>
  <si>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</si>
  <si>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</si>
  <si>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</si>
  <si>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</si>
  <si>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</si>
  <si>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</si>
  <si>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</si>
  <si>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</si>
  <si>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</si>
  <si>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</si>
  <si>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</si>
  <si>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</si>
  <si>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</si>
  <si>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</si>
  <si>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</si>
  <si>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</si>
  <si>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</si>
  <si>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</si>
  <si>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</si>
  <si>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</si>
  <si>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</si>
  <si>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</si>
  <si>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</si>
  <si>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</si>
  <si>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</si>
  <si>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</si>
  <si>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</si>
  <si>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</si>
  <si>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</si>
  <si>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</si>
  <si>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</si>
  <si>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</si>
  <si>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</si>
  <si>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</si>
  <si>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</si>
  <si>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</si>
  <si>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</si>
  <si>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</si>
  <si>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</si>
  <si>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</si>
  <si>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</si>
  <si>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</si>
  <si>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</si>
  <si>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</si>
  <si>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</si>
  <si>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</si>
  <si>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</si>
  <si>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</si>
  <si>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</si>
  <si>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</si>
  <si>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</si>
  <si>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</si>
  <si>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</si>
  <si>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</si>
  <si>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</si>
  <si>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</si>
  <si>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</si>
  <si>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</si>
  <si>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</si>
  <si>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</si>
  <si>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</si>
  <si>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</si>
  <si>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</si>
  <si>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</si>
  <si>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</si>
  <si>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</si>
  <si>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</si>
  <si>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</si>
  <si>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</si>
  <si>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</si>
  <si>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</si>
  <si>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</si>
  <si>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</si>
  <si>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</si>
  <si>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</si>
  <si>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</si>
  <si>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</si>
  <si>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</si>
  <si>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</si>
  <si>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</si>
  <si>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</si>
  <si>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</si>
  <si>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</si>
  <si>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</si>
  <si>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</si>
  <si>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</si>
  <si>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</si>
  <si>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</si>
  <si>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</si>
  <si>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</si>
  <si>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</si>
  <si>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</si>
  <si>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</si>
  <si>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</si>
  <si>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</si>
  <si>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</si>
  <si>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</si>
  <si>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</si>
  <si>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</si>
  <si>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</si>
  <si>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</si>
  <si>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</si>
  <si>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</si>
  <si>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</si>
  <si>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</si>
  <si>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</si>
  <si>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</si>
  <si>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</si>
  <si>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</si>
  <si>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</si>
  <si>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</si>
  <si>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</si>
  <si>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</si>
  <si>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</si>
  <si>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</si>
  <si>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</si>
  <si>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</si>
  <si>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</si>
  <si>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</si>
  <si>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</si>
  <si>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</si>
  <si>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</si>
  <si>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</si>
  <si>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</si>
  <si>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</si>
  <si>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</si>
  <si>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</si>
  <si>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</si>
  <si>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</si>
  <si>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</si>
  <si>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</si>
  <si>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</si>
  <si>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</si>
  <si>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</si>
  <si>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</si>
  <si>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</si>
  <si>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</si>
  <si>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</si>
  <si>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</si>
  <si>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</si>
  <si>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</si>
  <si>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</si>
  <si>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</si>
  <si>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</si>
  <si>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</si>
  <si>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</si>
  <si>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</si>
  <si>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</si>
  <si>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</si>
  <si>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</si>
  <si>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</si>
  <si>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</si>
  <si>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</si>
  <si>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</si>
  <si>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</si>
  <si>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</si>
  <si>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</si>
  <si>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</si>
  <si>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</si>
  <si>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</si>
  <si>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</si>
  <si>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</si>
  <si>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</si>
  <si>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</si>
  <si>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</si>
  <si>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</si>
  <si>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</si>
  <si>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</si>
  <si>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</si>
  <si>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</si>
  <si>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</si>
  <si>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</si>
  <si>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</si>
  <si>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</si>
  <si>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</si>
  <si>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</si>
  <si>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</si>
  <si>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</si>
  <si>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</si>
  <si>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</si>
  <si>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</si>
  <si>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</si>
  <si>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</si>
  <si>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</si>
  <si>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</si>
  <si>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</si>
  <si>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</si>
  <si>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</si>
  <si>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</si>
  <si>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</si>
  <si>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E-BOAT</t>
  </si>
  <si>
    <t>ELAN 210</t>
  </si>
  <si>
    <t>ELAN 295</t>
  </si>
  <si>
    <t>ELAN 31</t>
  </si>
  <si>
    <t>ELAN 310</t>
  </si>
  <si>
    <t>ELAN 333</t>
  </si>
  <si>
    <t>ELAN 34</t>
  </si>
  <si>
    <t>ELAN 362</t>
  </si>
  <si>
    <t>ELAN 38</t>
  </si>
  <si>
    <t>ELAN 380</t>
  </si>
  <si>
    <t>ELAN 400 2.20</t>
  </si>
  <si>
    <t>13</t>
  </si>
  <si>
    <t>ELAN 400 2.40 iron</t>
  </si>
  <si>
    <t>ELAN 400 2.40 iron/lead</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</si>
  <si>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</si>
  <si>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</si>
  <si>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</si>
  <si>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</si>
  <si>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</si>
  <si>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</si>
  <si>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</si>
  <si>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</si>
  <si>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</si>
  <si>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</si>
  <si>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</si>
  <si>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</si>
  <si>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</si>
  <si>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</si>
  <si>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</si>
  <si>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</si>
  <si>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</si>
  <si>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</si>
  <si>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</si>
  <si>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</si>
  <si>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</si>
  <si>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</si>
  <si>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</si>
  <si>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</si>
  <si>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</si>
  <si>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</si>
  <si>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</si>
  <si>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</si>
  <si>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</si>
  <si>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</si>
  <si>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</si>
  <si>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</si>
  <si>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</si>
  <si>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</si>
  <si>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</si>
  <si>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</si>
  <si>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</si>
  <si>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</si>
  <si>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</si>
  <si>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</si>
  <si>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</si>
  <si>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</si>
  <si>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</si>
  <si>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</si>
  <si>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</si>
  <si>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</si>
  <si>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</si>
  <si>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</si>
  <si>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</si>
  <si>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</si>
  <si>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</si>
  <si>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</si>
  <si>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</si>
  <si>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</si>
  <si>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</si>
  <si>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</si>
  <si>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</si>
  <si>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</si>
  <si>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</si>
  <si>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</si>
  <si>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</si>
  <si>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</si>
  <si>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</si>
  <si>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</si>
  <si>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</si>
  <si>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</si>
  <si>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</si>
  <si>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</si>
  <si>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</si>
  <si>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</si>
  <si>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</si>
  <si>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</si>
  <si>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</si>
  <si>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</si>
  <si>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</si>
  <si>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</si>
  <si>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</si>
  <si>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</si>
  <si>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</si>
  <si>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</si>
  <si>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</si>
  <si>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</si>
  <si>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</si>
  <si>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</si>
  <si>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</si>
  <si>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</si>
  <si>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</si>
  <si>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</si>
  <si>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</si>
  <si>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</si>
  <si>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</si>
  <si>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</si>
  <si>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</si>
  <si>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</si>
  <si>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</si>
  <si>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</si>
  <si>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</si>
  <si>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</si>
  <si>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</si>
  <si>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</si>
  <si>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</si>
  <si>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</si>
  <si>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</si>
  <si>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</si>
  <si>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</si>
  <si>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</si>
  <si>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</si>
  <si>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</si>
  <si>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</si>
  <si>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</si>
  <si>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</si>
  <si>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</si>
  <si>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</si>
  <si>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</si>
  <si>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</si>
  <si>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</si>
  <si>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</si>
  <si>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</si>
  <si>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</si>
  <si>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</si>
  <si>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</si>
  <si>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</si>
  <si>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</si>
  <si>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</si>
  <si>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</si>
  <si>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</si>
  <si>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</si>
  <si>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</si>
  <si>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</si>
  <si>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</si>
  <si>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</si>
  <si>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</si>
  <si>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</si>
  <si>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</si>
  <si>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</si>
  <si>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</si>
  <si>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</si>
  <si>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</si>
  <si>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</si>
  <si>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</si>
  <si>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</si>
  <si>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</si>
  <si>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</si>
  <si>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</si>
  <si>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</si>
  <si>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</si>
  <si>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</si>
  <si>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</si>
  <si>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</si>
  <si>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</si>
  <si>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</si>
  <si>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</si>
  <si>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</si>
  <si>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</si>
  <si>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</si>
  <si>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</si>
  <si>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</si>
  <si>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</si>
  <si>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</si>
  <si>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</si>
  <si>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</si>
  <si>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</si>
  <si>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</si>
  <si>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</si>
  <si>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</si>
  <si>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</si>
  <si>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</si>
  <si>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</si>
  <si>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</si>
  <si>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</si>
  <si>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</si>
  <si>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</si>
  <si>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</si>
  <si>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</si>
  <si>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</si>
  <si>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</si>
  <si>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</si>
  <si>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</si>
  <si>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</si>
  <si>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</si>
  <si>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</si>
  <si>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</si>
  <si>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</si>
  <si>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</si>
  <si>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</si>
  <si>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</si>
  <si>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</si>
  <si>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</si>
  <si>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</si>
  <si>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</si>
  <si>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</si>
  <si>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</si>
  <si>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</si>
  <si>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</si>
  <si>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</si>
  <si>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</si>
  <si>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</si>
  <si>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</si>
  <si>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</si>
  <si>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</si>
  <si>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</si>
  <si>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</si>
  <si>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</si>
  <si>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</si>
  <si>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</si>
  <si>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</si>
  <si>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</si>
  <si>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</si>
  <si>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</si>
  <si>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</si>
  <si>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</si>
  <si>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</si>
  <si>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</si>
  <si>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</si>
  <si>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</si>
  <si>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</si>
  <si>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</si>
  <si>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</si>
  <si>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</si>
  <si>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</si>
  <si>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</si>
  <si>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</si>
  <si>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</si>
  <si>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</si>
  <si>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</si>
  <si>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</si>
  <si>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</si>
  <si>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</si>
  <si>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</si>
  <si>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</si>
  <si>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</si>
  <si>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</si>
  <si>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</si>
  <si>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</si>
  <si>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</si>
  <si>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</si>
  <si>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</si>
  <si>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</si>
  <si>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</si>
  <si>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</si>
  <si>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</si>
  <si>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</si>
  <si>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</si>
  <si>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</si>
  <si>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</si>
  <si>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</si>
  <si>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</si>
  <si>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</si>
  <si>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</si>
  <si>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</si>
  <si>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</si>
  <si>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</si>
  <si>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</si>
  <si>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</si>
  <si>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</si>
  <si>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</si>
  <si>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</si>
  <si>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</si>
  <si>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</si>
  <si>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</si>
  <si>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</si>
  <si>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</si>
  <si>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</si>
  <si>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</si>
  <si>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</si>
  <si>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</si>
  <si>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</si>
  <si>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</si>
  <si>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</si>
  <si>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</si>
  <si>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</si>
  <si>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</si>
  <si>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</si>
  <si>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</si>
  <si>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</si>
  <si>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</si>
  <si>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</si>
  <si>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</si>
  <si>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</si>
  <si>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</si>
  <si>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</si>
  <si>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</si>
  <si>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</si>
  <si>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</si>
  <si>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</si>
  <si>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</si>
  <si>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</si>
  <si>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</si>
  <si>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</si>
  <si>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</si>
  <si>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</si>
  <si>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</si>
  <si>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</si>
  <si>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</si>
  <si>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</si>
  <si>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</si>
  <si>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</si>
  <si>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</si>
  <si>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</si>
  <si>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</si>
  <si>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</si>
  <si>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</si>
  <si>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</si>
  <si>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</si>
  <si>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</si>
  <si>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</si>
  <si>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</si>
  <si>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</si>
  <si>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</si>
  <si>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</si>
  <si>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</si>
  <si>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</si>
  <si>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</si>
  <si>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</si>
  <si>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</si>
  <si>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</si>
  <si>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</si>
  <si>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</si>
  <si>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</si>
  <si>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</si>
  <si>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</si>
  <si>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</si>
  <si>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</si>
  <si>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</si>
  <si>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</si>
  <si>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</si>
  <si>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</si>
  <si>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</si>
  <si>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</si>
  <si>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</si>
  <si>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</si>
  <si>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</si>
  <si>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</si>
  <si>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</si>
  <si>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</si>
  <si>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</si>
  <si>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</si>
  <si>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</si>
  <si>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</si>
  <si>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</si>
  <si>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</si>
  <si>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</si>
  <si>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</si>
  <si>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</si>
  <si>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</si>
  <si>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</si>
  <si>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</si>
  <si>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</si>
  <si>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</si>
  <si>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</si>
  <si>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</si>
  <si>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</si>
  <si>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</si>
  <si>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</si>
  <si>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</si>
  <si>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</si>
  <si>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</si>
  <si>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</si>
  <si>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</si>
  <si>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</si>
  <si>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</si>
  <si>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</si>
  <si>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</si>
  <si>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</si>
  <si>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</si>
  <si>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</si>
  <si>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</si>
  <si>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</si>
  <si>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</si>
  <si>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</si>
  <si>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</si>
  <si>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</si>
  <si>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</si>
  <si>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</si>
  <si>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</si>
  <si>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</si>
  <si>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</si>
  <si>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</si>
  <si>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</si>
  <si>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</si>
  <si>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</si>
  <si>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</si>
  <si>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</si>
  <si>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</si>
  <si>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</si>
  <si>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</si>
  <si>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</si>
  <si>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</si>
  <si>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</si>
  <si>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</si>
  <si>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</si>
  <si>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</si>
  <si>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</si>
  <si>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</si>
  <si>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</si>
  <si>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</si>
  <si>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</si>
  <si>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</si>
  <si>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</si>
  <si>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</si>
  <si>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</si>
  <si>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</si>
  <si>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</si>
  <si>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</si>
  <si>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</si>
  <si>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</si>
  <si>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</si>
  <si>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</si>
  <si>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</si>
  <si>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</si>
  <si>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</si>
  <si>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</si>
  <si>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</si>
  <si>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</si>
  <si>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</si>
  <si>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</si>
  <si>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</si>
  <si>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</si>
  <si>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</si>
  <si>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</si>
  <si>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</si>
  <si>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</si>
  <si>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</si>
  <si>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</si>
  <si>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</si>
  <si>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</si>
  <si>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</si>
  <si>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</si>
  <si>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</si>
  <si>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</si>
  <si>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</si>
  <si>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</si>
  <si>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</si>
  <si>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</si>
  <si>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</si>
  <si>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</si>
  <si>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</si>
  <si>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</si>
  <si>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</si>
  <si>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</si>
  <si>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</si>
  <si>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</si>
  <si>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</si>
  <si>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</si>
  <si>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</si>
  <si>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</si>
  <si>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</si>
  <si>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</si>
  <si>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</si>
  <si>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</si>
  <si>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</si>
  <si>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</si>
  <si>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</si>
  <si>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</si>
  <si>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</si>
  <si>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</si>
  <si>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</si>
  <si>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</si>
  <si>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</si>
  <si>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</si>
  <si>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</si>
  <si>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</si>
  <si>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</si>
  <si>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</si>
  <si>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</si>
  <si>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</si>
  <si>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</si>
  <si>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</si>
  <si>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</si>
  <si>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</si>
  <si>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</si>
  <si>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</si>
  <si>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</si>
  <si>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</si>
  <si>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</si>
  <si>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</si>
  <si>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</si>
  <si>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</si>
  <si>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</si>
  <si>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</si>
  <si>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</si>
  <si>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</si>
  <si>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</si>
  <si>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</si>
  <si>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</si>
  <si>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</si>
  <si>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</si>
  <si>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</si>
  <si>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</si>
  <si>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</si>
  <si>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</si>
  <si>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</si>
  <si>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</si>
  <si>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</si>
  <si>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</si>
  <si>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</si>
  <si>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</si>
  <si>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</si>
  <si>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</si>
  <si>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</si>
  <si>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</si>
  <si>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</si>
  <si>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</si>
  <si>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</si>
  <si>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</si>
  <si>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</si>
  <si>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</si>
  <si>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</si>
  <si>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</si>
  <si>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</si>
  <si>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</si>
  <si>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</si>
  <si>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</si>
  <si>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</si>
  <si>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</si>
  <si>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</si>
  <si>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</si>
  <si>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</si>
  <si>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</si>
  <si>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</si>
  <si>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</si>
  <si>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</si>
  <si>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</si>
  <si>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</si>
  <si>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</si>
  <si>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</si>
  <si>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</si>
  <si>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</si>
  <si>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</si>
  <si>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</si>
  <si>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</si>
  <si>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</si>
  <si>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</si>
  <si>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</si>
  <si>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</si>
  <si>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</si>
  <si>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</si>
  <si>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</si>
  <si>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</si>
  <si>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</si>
  <si>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</si>
  <si>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</si>
  <si>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</si>
  <si>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</si>
  <si>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</si>
  <si>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</si>
  <si>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</si>
  <si>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</si>
  <si>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</si>
  <si>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</si>
  <si>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</si>
  <si>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</si>
  <si>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</si>
  <si>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</si>
  <si>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</si>
  <si>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</si>
  <si>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</si>
  <si>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</si>
  <si>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</si>
  <si>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</si>
  <si>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</si>
  <si>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</si>
  <si>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</si>
  <si>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</si>
  <si>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</si>
  <si>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</si>
  <si>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</si>
  <si>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</si>
  <si>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</si>
  <si>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</si>
  <si>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</si>
  <si>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</si>
  <si>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</si>
  <si>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</si>
  <si>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</si>
  <si>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</si>
  <si>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</si>
  <si>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</si>
  <si>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</si>
  <si>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</si>
  <si>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</si>
  <si>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</si>
  <si>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</si>
  <si>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</si>
  <si>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</si>
  <si>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</si>
  <si>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</si>
  <si>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</si>
  <si>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</si>
  <si>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</si>
  <si>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</si>
  <si>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</si>
  <si>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</si>
  <si>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</si>
  <si>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</si>
  <si>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</si>
  <si>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</si>
  <si>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</si>
  <si>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</si>
  <si>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</si>
  <si>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</si>
  <si>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</si>
  <si>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</si>
  <si>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</si>
  <si>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</si>
  <si>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</si>
  <si>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</si>
  <si>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</si>
  <si>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</si>
  <si>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</si>
  <si>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</si>
  <si>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</si>
  <si>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</si>
  <si>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</si>
  <si>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</si>
  <si>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</si>
  <si>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</si>
  <si>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</si>
  <si>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</si>
  <si>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</si>
  <si>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</si>
  <si>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</si>
  <si>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</si>
  <si>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</si>
  <si>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</si>
  <si>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</si>
  <si>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</si>
  <si>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</si>
  <si>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</si>
  <si>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</si>
  <si>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</si>
  <si>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</si>
  <si>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</si>
  <si>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</si>
  <si>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</si>
  <si>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</si>
  <si>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</si>
  <si>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</si>
  <si>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</si>
  <si>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</si>
  <si>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</si>
  <si>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</si>
  <si>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</si>
  <si>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</si>
  <si>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</si>
  <si>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</si>
  <si>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</si>
  <si>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</si>
  <si>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</si>
  <si>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</si>
  <si>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</si>
  <si>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</si>
  <si>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</si>
  <si>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</si>
  <si>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</si>
  <si>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</si>
  <si>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</si>
  <si>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</si>
  <si>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</si>
  <si>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</si>
  <si>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</si>
  <si>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</si>
  <si>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</si>
  <si>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</si>
  <si>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</si>
  <si>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</si>
  <si>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</si>
  <si>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</si>
  <si>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</si>
  <si>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</si>
  <si>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</si>
  <si>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</si>
  <si>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</si>
  <si>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</si>
  <si>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</si>
  <si>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</si>
  <si>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</si>
  <si>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</si>
  <si>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</si>
  <si>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</si>
  <si>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</si>
  <si>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</si>
  <si>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</si>
  <si>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</si>
  <si>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</si>
  <si>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</si>
  <si>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</si>
  <si>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</si>
  <si>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</si>
  <si>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</si>
  <si>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</si>
  <si>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</si>
  <si>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</si>
  <si>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</si>
  <si>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</si>
  <si>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</si>
  <si>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</si>
  <si>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</si>
  <si>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</si>
  <si>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</si>
  <si>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</si>
  <si>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</si>
  <si>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</si>
  <si>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</si>
  <si>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</si>
  <si>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</si>
  <si>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</si>
  <si>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</si>
  <si>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</si>
  <si>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</si>
  <si>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</si>
  <si>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</si>
  <si>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</si>
  <si>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</si>
  <si>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</si>
  <si>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</si>
  <si>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</si>
  <si>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</si>
  <si>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</si>
  <si>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</si>
  <si>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</si>
  <si>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</si>
  <si>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</si>
  <si>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</si>
  <si>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</si>
  <si>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</si>
  <si>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</si>
  <si>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</si>
  <si>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</si>
  <si>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</si>
  <si>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</si>
  <si>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</si>
  <si>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</si>
  <si>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</si>
  <si>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</si>
  <si>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</si>
  <si>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</si>
  <si>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</si>
  <si>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</si>
  <si>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</si>
  <si>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</si>
  <si>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</si>
  <si>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</si>
  <si>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</si>
  <si>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</si>
  <si>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</si>
  <si>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</si>
  <si>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</si>
  <si>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</si>
  <si>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</si>
  <si>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</si>
  <si>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</si>
  <si>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</si>
  <si>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</si>
  <si>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</si>
  <si>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</si>
  <si>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</si>
  <si>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</si>
  <si>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</si>
  <si>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</si>
  <si>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</si>
  <si>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</si>
  <si>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</si>
  <si>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</si>
  <si>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</si>
  <si>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</si>
  <si>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</si>
  <si>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</si>
  <si>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</si>
  <si>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</si>
  <si>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</si>
  <si>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</si>
  <si>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</si>
  <si>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</si>
  <si>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</si>
  <si>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</si>
  <si>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</si>
  <si>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</si>
  <si>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</si>
  <si>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</si>
  <si>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</si>
  <si>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</si>
  <si>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</si>
  <si>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</si>
  <si>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</si>
  <si>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</si>
  <si>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</si>
  <si>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</si>
  <si>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</si>
  <si>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</si>
  <si>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</si>
  <si>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</si>
  <si>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</si>
  <si>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</si>
  <si>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</si>
  <si>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</si>
  <si>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</si>
  <si>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</si>
  <si>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</si>
  <si>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</si>
  <si>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</si>
  <si>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</si>
  <si>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</si>
  <si>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</si>
  <si>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</si>
  <si>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</si>
  <si>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</si>
  <si>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</si>
  <si>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</si>
  <si>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</si>
  <si>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</si>
  <si>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</si>
  <si>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</si>
  <si>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</si>
  <si>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</si>
  <si>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</si>
  <si>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</si>
  <si>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</si>
  <si>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</si>
  <si>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</si>
  <si>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</si>
  <si>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</si>
  <si>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</si>
  <si>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</si>
  <si>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</si>
  <si>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</si>
  <si>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</si>
  <si>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</si>
  <si>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</si>
  <si>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</si>
  <si>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</si>
  <si>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</si>
  <si>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</si>
  <si>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</si>
  <si>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</si>
  <si>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</si>
  <si>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</si>
  <si>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</si>
  <si>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</si>
  <si>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</si>
  <si>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</si>
  <si>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</si>
  <si>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</si>
  <si>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</si>
  <si>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</si>
  <si>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</si>
  <si>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</si>
  <si>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</si>
  <si>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</si>
  <si>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</si>
  <si>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</si>
  <si>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</si>
  <si>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</si>
  <si>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</si>
  <si>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</si>
  <si>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</si>
  <si>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</si>
  <si>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</si>
  <si>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</si>
  <si>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</si>
  <si>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</si>
  <si>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</si>
  <si>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</si>
  <si>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</si>
  <si>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</si>
  <si>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</si>
  <si>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</si>
  <si>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</si>
  <si>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</si>
  <si>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</si>
  <si>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</si>
  <si>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</si>
  <si>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</si>
  <si>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</si>
  <si>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</si>
  <si>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</si>
  <si>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</si>
  <si>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</si>
  <si>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</si>
  <si>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</si>
  <si>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</si>
  <si>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</si>
  <si>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</si>
  <si>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</si>
  <si>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</si>
  <si>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</si>
  <si>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</si>
  <si>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</si>
  <si>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</si>
  <si>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</si>
  <si>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</si>
  <si>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</si>
  <si>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</si>
  <si>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</si>
  <si>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</si>
  <si>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</si>
  <si>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</si>
  <si>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</si>
  <si>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</si>
  <si>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</si>
  <si>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</si>
  <si>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</si>
  <si>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</si>
  <si>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</si>
  <si>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</si>
  <si>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</si>
  <si>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</si>
  <si>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</si>
  <si>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</si>
  <si>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</si>
  <si>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</si>
  <si>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</si>
  <si>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</si>
  <si>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</si>
  <si>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</si>
  <si>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</si>
  <si>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</si>
  <si>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</si>
  <si>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</si>
  <si>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</si>
  <si>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</si>
  <si>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</si>
  <si>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</si>
  <si>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</si>
  <si>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</si>
  <si>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</si>
  <si>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</si>
  <si>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</si>
  <si>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</si>
  <si>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</si>
  <si>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</si>
  <si>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</si>
  <si>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</si>
  <si>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</si>
  <si>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</si>
  <si>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</si>
  <si>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</si>
  <si>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</si>
  <si>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</si>
  <si>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</si>
  <si>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</si>
  <si>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</si>
  <si>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</si>
  <si>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</si>
  <si>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</si>
  <si>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</si>
  <si>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</si>
  <si>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</si>
  <si>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</si>
  <si>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</si>
  <si>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</si>
  <si>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</si>
  <si>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</si>
  <si>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</si>
  <si>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</si>
  <si>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</si>
  <si>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</si>
  <si>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</si>
  <si>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</si>
  <si>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</si>
  <si>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</si>
  <si>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</si>
  <si>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</si>
  <si>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</si>
  <si>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</si>
  <si>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</si>
  <si>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</si>
  <si>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</si>
  <si>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</si>
  <si>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</si>
  <si>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</si>
  <si>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</si>
  <si>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</si>
  <si>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</si>
  <si>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</si>
  <si>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</si>
  <si>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</si>
  <si>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</si>
  <si>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</si>
  <si>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</si>
  <si>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</si>
  <si>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</si>
  <si>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</si>
  <si>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</si>
  <si>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</si>
  <si>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</si>
  <si>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</si>
  <si>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</si>
  <si>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</si>
  <si>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</si>
  <si>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</si>
  <si>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</si>
  <si>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</si>
  <si>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</si>
  <si>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</si>
  <si>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</si>
  <si>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</si>
  <si>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</si>
  <si>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</si>
  <si>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</si>
  <si>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</si>
  <si>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</si>
  <si>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</si>
  <si>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</si>
  <si>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</si>
  <si>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</si>
  <si>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</si>
  <si>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</si>
  <si>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</si>
  <si>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</si>
  <si>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</si>
  <si>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</si>
  <si>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</si>
  <si>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</si>
  <si>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</si>
  <si>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</si>
  <si>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</si>
  <si>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</si>
  <si>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</si>
  <si>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</si>
  <si>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</si>
  <si>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</si>
  <si>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</si>
  <si>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</si>
  <si>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</si>
  <si>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</si>
  <si>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</si>
  <si>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</si>
  <si>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</si>
  <si>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</si>
  <si>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</si>
  <si>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</si>
  <si>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</si>
  <si>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</si>
  <si>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</si>
  <si>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</si>
  <si>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</si>
  <si>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</si>
  <si>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</si>
  <si>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</si>
  <si>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</si>
  <si>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</si>
  <si>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</si>
  <si>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</si>
  <si>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</si>
  <si>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</si>
  <si>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</si>
  <si>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</si>
  <si>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</si>
  <si>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</si>
  <si>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</si>
  <si>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</si>
  <si>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</si>
  <si>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</si>
  <si>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</si>
  <si>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</si>
  <si>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</si>
  <si>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</si>
  <si>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</si>
  <si>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</si>
  <si>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</si>
  <si>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</si>
  <si>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</si>
  <si>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</si>
  <si>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</si>
  <si>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</si>
  <si>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</si>
  <si>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</si>
  <si>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</si>
  <si>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</si>
  <si>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</si>
  <si>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</si>
  <si>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</si>
  <si>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</si>
  <si>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</si>
  <si>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</si>
  <si>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</si>
  <si>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</si>
  <si>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</si>
  <si>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</si>
  <si>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</si>
  <si>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</si>
  <si>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</si>
  <si>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</si>
  <si>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</si>
  <si>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</si>
  <si>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</si>
  <si>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</si>
  <si>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</si>
  <si>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</si>
  <si>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</si>
  <si>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</si>
  <si>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</si>
  <si>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</si>
  <si>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</si>
  <si>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</si>
  <si>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</si>
  <si>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</si>
  <si>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</si>
  <si>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</si>
  <si>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</si>
  <si>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</si>
  <si>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</si>
  <si>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</si>
  <si>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</si>
  <si>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</si>
  <si>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</si>
  <si>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</si>
  <si>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</si>
  <si>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</si>
  <si>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</si>
  <si>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</si>
  <si>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</si>
  <si>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</si>
  <si>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</si>
  <si>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</si>
  <si>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</si>
  <si>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</si>
  <si>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</si>
  <si>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</si>
  <si>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</si>
  <si>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</si>
  <si>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</si>
  <si>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</si>
  <si>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</si>
  <si>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</si>
  <si>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</si>
  <si>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</si>
  <si>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</si>
  <si>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</si>
  <si>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</si>
  <si>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</si>
  <si>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</si>
  <si>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</si>
  <si>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</si>
  <si>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</si>
  <si>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</si>
  <si>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</si>
  <si>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</si>
  <si>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</si>
  <si>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</si>
  <si>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</si>
  <si>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</si>
  <si>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</si>
  <si>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</si>
  <si>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</si>
  <si>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</si>
  <si>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</si>
  <si>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</si>
  <si>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</si>
  <si>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</si>
  <si>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</si>
  <si>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</si>
  <si>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</si>
  <si>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</si>
  <si>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</si>
  <si>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</si>
  <si>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</si>
  <si>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</si>
  <si>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</si>
  <si>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</si>
  <si>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</si>
  <si>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</si>
  <si>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</si>
  <si>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</si>
  <si>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</si>
  <si>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</si>
  <si>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</si>
  <si>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</si>
  <si>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</si>
  <si>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</si>
  <si>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</si>
  <si>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</si>
  <si>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</si>
  <si>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</si>
  <si>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</si>
  <si>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</si>
  <si>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</si>
  <si>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</si>
  <si>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</si>
  <si>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</si>
  <si>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</si>
  <si>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</si>
  <si>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</si>
  <si>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</si>
  <si>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</si>
  <si>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</si>
  <si>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</si>
  <si>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</si>
  <si>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</si>
  <si>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</si>
  <si>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</si>
  <si>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</si>
  <si>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</si>
  <si>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</si>
  <si>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</si>
  <si>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</si>
  <si>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</si>
  <si>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</si>
  <si>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</si>
  <si>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</si>
  <si>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</si>
  <si>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</si>
  <si>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</si>
  <si>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</si>
  <si>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</si>
  <si>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</si>
  <si>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</si>
  <si>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</si>
  <si>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</si>
  <si>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</si>
  <si>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</si>
  <si>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</si>
  <si>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</si>
  <si>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</si>
  <si>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</si>
  <si>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</si>
  <si>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</si>
  <si>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</si>
  <si>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</si>
  <si>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</si>
  <si>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</si>
  <si>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</si>
  <si>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</si>
  <si>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</si>
  <si>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</si>
  <si>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</si>
  <si>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</si>
  <si>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</si>
  <si>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</si>
  <si>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</si>
  <si>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</si>
  <si>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</si>
  <si>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</si>
  <si>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</si>
  <si>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</si>
  <si>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</si>
  <si>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</si>
  <si>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</si>
  <si>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</si>
  <si>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</si>
  <si>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</si>
  <si>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</si>
  <si>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</si>
  <si>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</si>
  <si>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</si>
  <si>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</si>
  <si>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</si>
  <si>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</si>
  <si>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</si>
  <si>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</si>
  <si>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</si>
  <si>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</si>
  <si>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</si>
  <si>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</si>
  <si>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</si>
  <si>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</si>
  <si>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</si>
  <si>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</si>
  <si>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</si>
  <si>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</si>
  <si>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</si>
  <si>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</si>
  <si>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</si>
  <si>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</si>
  <si>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</si>
  <si>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</si>
  <si>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</si>
  <si>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</si>
  <si>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</si>
  <si>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</si>
  <si>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</si>
  <si>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</si>
  <si>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</si>
  <si>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</si>
  <si>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</si>
  <si>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</si>
  <si>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</si>
  <si>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</si>
  <si>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</si>
  <si>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</si>
  <si>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</si>
  <si>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</si>
  <si>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</si>
  <si>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</si>
  <si>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</si>
  <si>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</si>
  <si>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</si>
  <si>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</si>
  <si>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</si>
  <si>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</si>
  <si>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</si>
  <si>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</si>
  <si>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</si>
  <si>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</si>
  <si>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</si>
  <si>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</si>
  <si>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</si>
  <si>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</si>
  <si>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</si>
  <si>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</si>
  <si>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</si>
  <si>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</si>
  <si>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</si>
  <si>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</si>
  <si>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</si>
  <si>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</si>
  <si>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</si>
  <si>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</si>
  <si>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</si>
  <si>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</si>
  <si>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</si>
  <si>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</si>
  <si>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</si>
  <si>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</si>
  <si>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</si>
  <si>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</si>
  <si>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</si>
  <si>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</si>
  <si>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</si>
  <si>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</si>
  <si>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</si>
  <si>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</si>
  <si>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</si>
  <si>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</si>
  <si>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</si>
  <si>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</si>
  <si>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</si>
  <si>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</si>
  <si>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</si>
  <si>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</si>
  <si>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</si>
  <si>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</si>
  <si>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</si>
  <si>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</si>
  <si>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</si>
  <si>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</si>
  <si>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</si>
  <si>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</si>
  <si>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</si>
  <si>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</si>
  <si>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</si>
  <si>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</si>
  <si>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</si>
  <si>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</si>
  <si>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</si>
  <si>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</si>
  <si>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</si>
  <si>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</si>
  <si>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</si>
  <si>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</si>
  <si>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</si>
  <si>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</si>
  <si>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</si>
  <si>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</si>
  <si>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</si>
  <si>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</si>
  <si>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</si>
  <si>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</si>
  <si>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</si>
  <si>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</si>
  <si>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</si>
  <si>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</si>
  <si>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</si>
  <si>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</si>
  <si>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</si>
  <si>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</si>
  <si>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</si>
  <si>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</si>
  <si>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</si>
  <si>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</si>
  <si>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</si>
  <si>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</si>
  <si>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</si>
  <si>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</si>
  <si>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</si>
  <si>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</si>
  <si>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</si>
  <si>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</si>
  <si>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</si>
  <si>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</si>
  <si>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</si>
  <si>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</si>
  <si>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</si>
  <si>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</si>
  <si>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</si>
  <si>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</si>
  <si>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</si>
  <si>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</si>
  <si>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</si>
  <si>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</si>
  <si>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</si>
  <si>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</si>
  <si>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</si>
  <si>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</si>
  <si>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</si>
  <si>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</si>
  <si>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</si>
  <si>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</si>
  <si>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</si>
  <si>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</si>
  <si>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</si>
  <si>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</si>
  <si>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</si>
  <si>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</si>
  <si>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</si>
  <si>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</si>
  <si>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</si>
  <si>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</si>
  <si>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</si>
  <si>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</si>
  <si>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</si>
  <si>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</si>
  <si>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</si>
  <si>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</si>
  <si>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</si>
  <si>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</si>
  <si>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</si>
  <si>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</si>
  <si>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</si>
  <si>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</si>
  <si>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</si>
  <si>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</si>
  <si>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</si>
  <si>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</si>
  <si>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</si>
  <si>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</si>
  <si>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</si>
  <si>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</si>
  <si>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</si>
  <si>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</si>
  <si>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</si>
  <si>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</si>
  <si>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</si>
  <si>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</si>
  <si>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</si>
  <si>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</si>
  <si>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</si>
  <si>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</si>
  <si>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</si>
  <si>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</si>
  <si>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</si>
  <si>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</si>
  <si>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</si>
  <si>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</si>
  <si>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</si>
  <si>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</si>
  <si>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</si>
  <si>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</si>
  <si>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</si>
  <si>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</si>
  <si>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</si>
  <si>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</si>
  <si>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</si>
  <si>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</si>
  <si>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</si>
  <si>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</si>
  <si>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</si>
  <si>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</si>
  <si>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</si>
  <si>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</si>
  <si>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</si>
  <si>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</si>
  <si>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</si>
  <si>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</si>
  <si>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</si>
  <si>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</si>
  <si>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</si>
  <si>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</si>
  <si>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</si>
  <si>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</si>
  <si>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</si>
  <si>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</si>
  <si>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</si>
  <si>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</si>
  <si>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</si>
  <si>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</si>
  <si>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</si>
  <si>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</si>
  <si>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</si>
  <si>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</si>
  <si>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</si>
  <si>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</si>
  <si>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</si>
  <si>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</si>
  <si>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</si>
  <si>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</si>
  <si>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</si>
  <si>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</si>
  <si>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</si>
  <si>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</si>
  <si>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</si>
  <si>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</si>
  <si>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</si>
  <si>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</si>
  <si>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</si>
  <si>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</si>
  <si>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</si>
  <si>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</si>
  <si>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</si>
  <si>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</si>
  <si>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</si>
  <si>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</si>
  <si>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</si>
  <si>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</si>
  <si>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</si>
  <si>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</si>
  <si>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</si>
  <si>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</si>
  <si>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</si>
  <si>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</si>
  <si>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</si>
  <si>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</si>
  <si>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</si>
  <si>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</si>
  <si>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</si>
  <si>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</si>
  <si>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</si>
  <si>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</si>
  <si>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</si>
  <si>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</si>
  <si>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</si>
  <si>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</si>
  <si>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</si>
  <si>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</si>
  <si>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</si>
  <si>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</si>
  <si>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</si>
  <si>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</si>
  <si>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</si>
  <si>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</si>
  <si>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</si>
  <si>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</si>
  <si>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</si>
  <si>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</si>
  <si>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</si>
  <si>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</si>
  <si>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</si>
  <si>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</si>
  <si>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</si>
  <si>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</si>
  <si>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</si>
  <si>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</si>
  <si>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</si>
  <si>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</si>
  <si>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</si>
  <si>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</si>
  <si>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</si>
  <si>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</si>
  <si>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</si>
  <si>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</si>
  <si>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</si>
  <si>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</si>
  <si>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</si>
  <si>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</si>
  <si>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</si>
  <si>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</si>
  <si>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</si>
  <si>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</si>
  <si>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</si>
  <si>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</si>
  <si>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</si>
  <si>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</si>
  <si>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</si>
  <si>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</si>
  <si>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</si>
  <si>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</si>
  <si>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</si>
  <si>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</si>
  <si>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</si>
  <si>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</si>
  <si>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</si>
  <si>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</si>
  <si>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</si>
  <si>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</si>
  <si>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</si>
  <si>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</si>
  <si>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</si>
  <si>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</si>
  <si>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</si>
  <si>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</si>
  <si>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</si>
  <si>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</si>
  <si>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</si>
  <si>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</si>
  <si>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</si>
  <si>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</si>
  <si>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</si>
  <si>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</si>
  <si>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</si>
  <si>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</si>
  <si>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</si>
  <si>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</si>
  <si>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</si>
  <si>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</si>
  <si>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</si>
  <si>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</si>
  <si>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</si>
  <si>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</si>
  <si>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</si>
  <si>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</si>
  <si>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</si>
  <si>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</si>
  <si>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</si>
  <si>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</si>
  <si>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</si>
  <si>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</si>
  <si>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</si>
  <si>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</si>
  <si>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</si>
  <si>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</si>
  <si>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</si>
  <si>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</si>
  <si>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</si>
  <si>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</si>
  <si>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</si>
  <si>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</si>
  <si>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</si>
  <si>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</si>
  <si>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</si>
  <si>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</si>
  <si>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</si>
  <si>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</si>
  <si>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</si>
  <si>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</si>
  <si>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</si>
  <si>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</si>
  <si>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sulla chiglia</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</si>
  <si>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</si>
  <si>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</si>
  <si>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</si>
  <si>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</si>
  <si>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</si>
  <si>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</si>
  <si>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</si>
  <si>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</si>
  <si>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</si>
  <si>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</si>
  <si>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</si>
  <si>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</si>
  <si>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</si>
  <si>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</si>
  <si>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</si>
  <si>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</si>
  <si>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</si>
  <si>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</si>
  <si>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</si>
  <si>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</si>
  <si>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</si>
  <si>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</si>
  <si>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</si>
  <si>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</si>
  <si>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</si>
  <si>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</si>
  <si>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</si>
  <si>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</si>
  <si>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</si>
  <si>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</si>
  <si>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</si>
  <si>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</si>
  <si>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</si>
  <si>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</si>
  <si>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</si>
  <si>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</si>
  <si>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</si>
  <si>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</si>
  <si>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</si>
  <si>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</si>
  <si>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</si>
  <si>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</si>
  <si>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</si>
  <si>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</si>
  <si>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</si>
  <si>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</si>
  <si>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</si>
  <si>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</si>
  <si>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</si>
  <si>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</si>
  <si>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</si>
  <si>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</si>
  <si>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</si>
  <si>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</si>
  <si>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</si>
  <si>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</si>
  <si>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</si>
  <si>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</si>
  <si>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</si>
  <si>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</si>
  <si>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</si>
  <si>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</si>
  <si>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</si>
  <si>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</si>
  <si>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</si>
  <si>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</si>
  <si>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</si>
  <si>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</si>
  <si>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</si>
  <si>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</si>
  <si>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</si>
  <si>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</si>
  <si>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</si>
  <si>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</si>
  <si>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</si>
  <si>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</si>
  <si>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</si>
  <si>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</si>
  <si>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</si>
  <si>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</si>
  <si>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</si>
  <si>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</si>
  <si>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</si>
  <si>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</si>
  <si>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</si>
  <si>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</si>
  <si>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</si>
  <si>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</si>
  <si>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</si>
  <si>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</si>
  <si>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</si>
  <si>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</si>
  <si>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</si>
  <si>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</si>
  <si>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</si>
  <si>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</si>
  <si>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</si>
  <si>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</si>
  <si>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</si>
  <si>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</si>
  <si>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</si>
  <si>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</si>
  <si>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</si>
  <si>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</si>
  <si>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</si>
  <si>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</si>
  <si>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</si>
  <si>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</si>
  <si>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</si>
  <si>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</si>
  <si>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</si>
  <si>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</si>
  <si>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</si>
  <si>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</si>
  <si>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</si>
  <si>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</si>
  <si>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</si>
  <si>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</si>
  <si>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</si>
  <si>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</si>
  <si>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</si>
  <si>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</si>
  <si>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</si>
  <si>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</si>
  <si>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</si>
  <si>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</si>
  <si>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</si>
  <si>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</si>
  <si>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</si>
  <si>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</si>
  <si>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</si>
  <si>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</si>
  <si>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</si>
  <si>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</si>
  <si>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</si>
  <si>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</si>
  <si>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</si>
  <si>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</si>
  <si>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</si>
  <si>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</si>
  <si>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</si>
  <si>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</si>
  <si>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</si>
  <si>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</si>
  <si>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</si>
  <si>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</si>
  <si>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</si>
  <si>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</si>
  <si>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</si>
  <si>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</si>
  <si>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</si>
  <si>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</si>
  <si>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</si>
  <si>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</si>
  <si>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</si>
  <si>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</si>
  <si>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</si>
  <si>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</si>
  <si>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</si>
  <si>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</si>
  <si>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</si>
  <si>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</si>
  <si>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</si>
  <si>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</si>
  <si>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</si>
  <si>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</si>
  <si>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</si>
  <si>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</si>
  <si>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</si>
  <si>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</si>
  <si>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</si>
  <si>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</si>
  <si>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</si>
  <si>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</si>
  <si>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</si>
  <si>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</si>
  <si>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</si>
  <si>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</si>
  <si>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</si>
  <si>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</si>
  <si>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</si>
  <si>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</si>
  <si>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</si>
  <si>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</si>
  <si>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</si>
  <si>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</si>
  <si>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</si>
  <si>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</si>
  <si>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</si>
  <si>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</si>
  <si>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</si>
  <si>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</si>
  <si>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</si>
  <si>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</si>
  <si>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</si>
  <si>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</si>
  <si>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</si>
  <si>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</si>
  <si>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</si>
  <si>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</si>
  <si>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</si>
  <si>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</si>
  <si>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</si>
  <si>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</si>
  <si>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</si>
  <si>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</si>
  <si>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</si>
  <si>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</si>
  <si>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</si>
  <si>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</si>
  <si>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</si>
  <si>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</si>
  <si>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</si>
  <si>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</si>
  <si>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</si>
  <si>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</si>
  <si>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</si>
  <si>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</si>
  <si>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</si>
  <si>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</si>
  <si>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</si>
  <si>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</si>
  <si>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</si>
  <si>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</si>
  <si>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</si>
  <si>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</si>
  <si>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</si>
  <si>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</si>
  <si>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</si>
  <si>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</si>
  <si>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</si>
  <si>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</si>
  <si>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</si>
  <si>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</si>
  <si>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</si>
  <si>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</si>
  <si>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</si>
  <si>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</si>
  <si>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</si>
  <si>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</si>
  <si>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</si>
  <si>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</si>
  <si>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</si>
  <si>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</si>
  <si>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</si>
  <si>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</si>
  <si>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</si>
  <si>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</si>
  <si>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</si>
  <si>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</si>
  <si>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</si>
  <si>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</si>
  <si>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</si>
  <si>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</si>
  <si>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</si>
  <si>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</si>
  <si>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</si>
  <si>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</si>
  <si>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</si>
  <si>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</si>
  <si>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</si>
  <si>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</si>
  <si>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</si>
  <si>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</si>
  <si>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</si>
  <si>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</si>
  <si>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</si>
  <si>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</si>
  <si>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</si>
  <si>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</si>
  <si>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</si>
  <si>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</si>
  <si>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</si>
  <si>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</si>
  <si>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</si>
  <si>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</si>
  <si>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</si>
  <si>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</si>
  <si>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</si>
  <si>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</si>
  <si>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</si>
  <si>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</si>
  <si>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</si>
  <si>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</si>
  <si>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</si>
  <si>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</si>
  <si>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</si>
  <si>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</si>
  <si>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</si>
  <si>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</si>
  <si>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</si>
  <si>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</si>
  <si>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</si>
  <si>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</si>
  <si>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</si>
  <si>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</si>
  <si>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</si>
  <si>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</si>
  <si>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</si>
  <si>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</si>
  <si>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</si>
  <si>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</si>
  <si>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</si>
  <si>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</si>
  <si>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</si>
  <si>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</si>
  <si>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</si>
  <si>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</si>
  <si>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</si>
  <si>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</si>
  <si>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</si>
  <si>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</si>
  <si>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</si>
  <si>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</si>
  <si>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</si>
  <si>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</si>
  <si>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</si>
  <si>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</si>
  <si>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</si>
  <si>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</si>
  <si>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</si>
  <si>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</si>
  <si>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</si>
  <si>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</si>
  <si>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</si>
  <si>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</si>
  <si>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</si>
  <si>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</si>
  <si>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</si>
  <si>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</si>
  <si>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</si>
  <si>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</si>
  <si>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</si>
  <si>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</si>
  <si>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</si>
  <si>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</si>
  <si>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</si>
  <si>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</si>
  <si>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</si>
  <si>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</si>
  <si>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</si>
  <si>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</si>
  <si>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</si>
  <si>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</si>
  <si>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</si>
  <si>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</si>
  <si>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</si>
  <si>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</si>
  <si>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</si>
  <si>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</si>
  <si>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</si>
  <si>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</si>
  <si>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</si>
  <si>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</si>
  <si>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</si>
  <si>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</si>
  <si>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</si>
  <si>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</si>
  <si>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</si>
  <si>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</si>
  <si>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</si>
  <si>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</si>
  <si>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</si>
  <si>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</si>
  <si>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</si>
  <si>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</si>
  <si>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</si>
  <si>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</si>
  <si>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</si>
  <si>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</si>
  <si>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</si>
  <si>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</si>
  <si>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</si>
  <si>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</si>
  <si>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</si>
  <si>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</si>
  <si>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</si>
  <si>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</si>
  <si>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</si>
  <si>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</si>
  <si>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</si>
  <si>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</si>
  <si>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</si>
  <si>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</si>
  <si>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</si>
  <si>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</si>
  <si>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</si>
  <si>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</si>
  <si>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</si>
  <si>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</si>
  <si>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</si>
  <si>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</si>
  <si>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acero</t>
  </si>
  <si>
    <t>cemento</t>
  </si>
  <si>
    <t>Boat Name</t>
  </si>
  <si>
    <t>doble suspendido</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</si>
  <si>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</si>
  <si>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</si>
  <si>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</si>
  <si>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</si>
  <si>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</si>
  <si>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</si>
  <si>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</si>
  <si>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</si>
  <si>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</si>
  <si>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</si>
  <si>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</si>
  <si>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</si>
  <si>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</si>
  <si>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</si>
  <si>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</si>
  <si>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</si>
  <si>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</si>
  <si>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</si>
  <si>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</si>
  <si>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</si>
  <si>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</si>
  <si>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</si>
  <si>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</si>
  <si>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</si>
  <si>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</si>
  <si>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</si>
  <si>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</si>
  <si>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</si>
  <si>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</si>
  <si>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</si>
  <si>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</si>
  <si>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</si>
  <si>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</si>
  <si>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</si>
  <si>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</si>
  <si>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</si>
  <si>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</si>
  <si>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</si>
  <si>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</si>
  <si>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</si>
  <si>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</si>
  <si>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</si>
  <si>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</si>
  <si>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</si>
  <si>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</si>
  <si>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</si>
  <si>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</si>
  <si>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</si>
  <si>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</si>
  <si>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</si>
  <si>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</si>
  <si>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</si>
  <si>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</si>
  <si>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</si>
  <si>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</si>
  <si>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</si>
  <si>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</si>
  <si>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</si>
  <si>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</si>
  <si>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</si>
  <si>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</si>
  <si>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</si>
  <si>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</si>
  <si>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</si>
  <si>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</si>
  <si>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</si>
  <si>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</si>
  <si>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</si>
  <si>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</si>
  <si>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</si>
  <si>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</si>
  <si>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</si>
  <si>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</si>
  <si>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</si>
  <si>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</si>
  <si>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</si>
  <si>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</si>
  <si>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</si>
  <si>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</si>
  <si>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</si>
  <si>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</si>
  <si>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</si>
  <si>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</si>
  <si>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</si>
  <si>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</si>
  <si>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</si>
  <si>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</si>
  <si>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</si>
  <si>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</si>
  <si>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</si>
  <si>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</si>
  <si>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</si>
  <si>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</si>
  <si>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</si>
  <si>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</si>
  <si>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</si>
  <si>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</si>
  <si>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</si>
  <si>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</si>
  <si>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</si>
  <si>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</si>
  <si>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</si>
  <si>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</si>
  <si>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</si>
  <si>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</si>
  <si>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</si>
  <si>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</si>
  <si>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</si>
  <si>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</si>
  <si>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</si>
  <si>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</si>
  <si>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</si>
  <si>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</si>
  <si>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</si>
  <si>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</si>
  <si>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</si>
  <si>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</si>
  <si>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</si>
  <si>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</si>
  <si>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</si>
  <si>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</si>
  <si>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</si>
  <si>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</si>
  <si>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</si>
  <si>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</si>
  <si>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</si>
  <si>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</si>
  <si>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</si>
  <si>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</si>
  <si>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</si>
  <si>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</si>
  <si>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</si>
  <si>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</si>
  <si>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</si>
  <si>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</si>
  <si>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</si>
  <si>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</si>
  <si>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</si>
  <si>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</si>
  <si>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</si>
  <si>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</si>
  <si>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</si>
  <si>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</si>
  <si>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</si>
  <si>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</si>
  <si>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</si>
  <si>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 Mk1</t>
  </si>
  <si>
    <t>SWAN 44 Mk2</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</si>
  <si>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</si>
  <si>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</si>
  <si>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</si>
  <si>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</si>
  <si>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</si>
  <si>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</si>
  <si>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</si>
  <si>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</si>
  <si>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</si>
  <si>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</si>
  <si>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</si>
  <si>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</si>
  <si>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</si>
  <si>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</si>
  <si>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</si>
  <si>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</si>
  <si>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</si>
  <si>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</si>
  <si>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</si>
  <si>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</si>
  <si>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</si>
  <si>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</si>
  <si>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</si>
  <si>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</si>
  <si>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</si>
  <si>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</si>
  <si>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</si>
  <si>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</si>
  <si>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</si>
  <si>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</si>
  <si>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</si>
  <si>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</si>
  <si>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</si>
  <si>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</si>
  <si>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</si>
  <si>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</si>
  <si>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</si>
  <si>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</si>
  <si>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</si>
  <si>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</si>
  <si>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</si>
  <si>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</si>
  <si>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</si>
  <si>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</si>
  <si>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</si>
  <si>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</si>
  <si>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</si>
  <si>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</si>
  <si>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</si>
  <si>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</si>
  <si>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</si>
  <si>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</si>
  <si>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</si>
  <si>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</si>
  <si>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</si>
  <si>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</si>
  <si>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</si>
  <si>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</si>
  <si>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</si>
  <si>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</si>
  <si>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</si>
  <si>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</si>
  <si>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</si>
  <si>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</si>
  <si>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</si>
  <si>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</si>
  <si>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</si>
  <si>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</si>
  <si>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</si>
  <si>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</si>
  <si>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</si>
  <si>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</si>
  <si>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</si>
  <si>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</si>
  <si>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</si>
  <si>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</si>
  <si>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</si>
  <si>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</si>
  <si>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</si>
  <si>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</si>
  <si>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</si>
  <si>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</si>
  <si>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</si>
  <si>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</si>
  <si>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</si>
  <si>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</si>
  <si>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</si>
  <si>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</si>
  <si>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</si>
  <si>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</si>
  <si>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</si>
  <si>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</si>
  <si>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</si>
  <si>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</si>
  <si>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</si>
  <si>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</si>
  <si>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</si>
  <si>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</si>
  <si>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</si>
  <si>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</si>
  <si>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</si>
  <si>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</si>
  <si>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</si>
  <si>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</si>
  <si>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</si>
  <si>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</si>
  <si>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</si>
  <si>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</si>
  <si>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</si>
  <si>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</si>
  <si>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</si>
  <si>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</si>
  <si>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</si>
  <si>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</si>
  <si>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</si>
  <si>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</si>
  <si>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</si>
  <si>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</si>
  <si>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</si>
  <si>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</si>
  <si>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</si>
  <si>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</si>
  <si>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</si>
  <si>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</si>
  <si>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</si>
  <si>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</si>
  <si>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</si>
  <si>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</si>
  <si>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</si>
  <si>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</si>
  <si>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</si>
  <si>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</si>
  <si>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</si>
  <si>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</si>
  <si>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</si>
  <si>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</si>
  <si>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</si>
  <si>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</si>
  <si>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</si>
  <si>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</si>
  <si>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</si>
  <si>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</si>
  <si>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</si>
  <si>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</si>
  <si>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</si>
  <si>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</si>
  <si>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</si>
  <si>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</si>
  <si>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</si>
  <si>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</si>
  <si>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</si>
  <si>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</si>
  <si>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</si>
  <si>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</si>
  <si>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</si>
  <si>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</si>
  <si>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</si>
  <si>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</si>
  <si>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</si>
  <si>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</si>
  <si>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</si>
  <si>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</si>
  <si>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</si>
  <si>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</si>
  <si>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</si>
  <si>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</si>
  <si>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</si>
  <si>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</si>
  <si>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</si>
  <si>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</si>
  <si>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</si>
  <si>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</si>
  <si>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</si>
  <si>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</si>
  <si>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</si>
  <si>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</si>
  <si>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</si>
  <si>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</si>
  <si>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</si>
  <si>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</si>
  <si>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</si>
  <si>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</si>
  <si>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</si>
  <si>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</si>
  <si>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</si>
  <si>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</si>
  <si>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</si>
  <si>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</si>
  <si>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</si>
  <si>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</si>
  <si>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</si>
  <si>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</si>
  <si>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</si>
  <si>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</si>
  <si>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</si>
  <si>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</si>
  <si>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</si>
  <si>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</si>
  <si>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</si>
  <si>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</si>
  <si>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</si>
  <si>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</si>
  <si>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</si>
  <si>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</si>
  <si>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</si>
  <si>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</si>
  <si>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</si>
  <si>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</si>
  <si>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</si>
  <si>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</si>
  <si>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</si>
  <si>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</si>
  <si>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</si>
  <si>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</si>
  <si>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</si>
  <si>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</si>
  <si>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</si>
  <si>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</si>
  <si>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</si>
  <si>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</si>
  <si>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</si>
  <si>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</si>
  <si>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</si>
  <si>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</si>
  <si>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</si>
  <si>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</si>
  <si>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</si>
  <si>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</si>
  <si>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</si>
  <si>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</si>
  <si>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</si>
  <si>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</si>
  <si>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</si>
  <si>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</si>
  <si>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</si>
  <si>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</si>
  <si>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</si>
  <si>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</si>
  <si>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</si>
  <si>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</si>
  <si>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</si>
  <si>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</si>
  <si>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</si>
  <si>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</si>
  <si>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</si>
  <si>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</si>
  <si>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</si>
  <si>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</si>
  <si>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</si>
  <si>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</si>
  <si>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</si>
  <si>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</si>
  <si>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</si>
  <si>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</si>
  <si>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</si>
  <si>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</si>
  <si>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</si>
  <si>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</si>
  <si>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</si>
  <si>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</si>
  <si>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</si>
  <si>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</si>
  <si>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</si>
  <si>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</si>
  <si>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</si>
  <si>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</si>
  <si>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</si>
  <si>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</si>
  <si>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</si>
  <si>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</si>
  <si>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</si>
  <si>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</si>
  <si>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</si>
  <si>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</si>
  <si>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</si>
  <si>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</si>
  <si>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</si>
  <si>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</si>
  <si>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</si>
  <si>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</si>
  <si>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</si>
  <si>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</si>
  <si>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</si>
  <si>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</si>
  <si>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</si>
  <si>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</si>
  <si>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</si>
  <si>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</si>
  <si>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</si>
  <si>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</si>
  <si>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</si>
  <si>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</si>
  <si>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</si>
  <si>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</si>
  <si>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</si>
  <si>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</si>
  <si>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</si>
  <si>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</si>
  <si>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</si>
  <si>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</si>
  <si>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</si>
  <si>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</si>
  <si>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</si>
  <si>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</si>
  <si>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</si>
  <si>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</si>
  <si>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</si>
  <si>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</si>
  <si>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</si>
  <si>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</si>
  <si>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</si>
  <si>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</si>
  <si>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</si>
  <si>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</si>
  <si>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</si>
  <si>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</si>
  <si>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</si>
  <si>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</si>
  <si>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</si>
  <si>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</si>
  <si>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</si>
  <si>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</si>
  <si>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</si>
  <si>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</si>
  <si>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</si>
  <si>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</si>
  <si>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</si>
  <si>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</si>
  <si>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</si>
  <si>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</si>
  <si>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</si>
  <si>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</si>
  <si>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</si>
  <si>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</si>
  <si>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</si>
  <si>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</si>
  <si>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</si>
  <si>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</si>
  <si>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</si>
  <si>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</si>
  <si>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</si>
  <si>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</si>
  <si>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</si>
  <si>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</si>
  <si>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</si>
  <si>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</si>
  <si>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</si>
  <si>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</si>
  <si>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</si>
  <si>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</si>
  <si>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</si>
  <si>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</si>
  <si>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</si>
  <si>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</si>
  <si>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</si>
  <si>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</si>
  <si>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</si>
  <si>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</si>
  <si>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</si>
  <si>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</si>
  <si>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</si>
  <si>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</si>
  <si>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</si>
  <si>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</si>
  <si>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</si>
  <si>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</si>
  <si>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</si>
  <si>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</si>
  <si>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</si>
  <si>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</si>
  <si>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</si>
  <si>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</si>
  <si>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</si>
  <si>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</si>
  <si>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</si>
  <si>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</si>
  <si>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</si>
  <si>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</si>
  <si>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</si>
  <si>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</si>
  <si>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</si>
  <si>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</si>
  <si>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</si>
  <si>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</si>
  <si>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</si>
  <si>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</si>
  <si>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</si>
  <si>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</si>
  <si>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</si>
  <si>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</si>
  <si>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</si>
  <si>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</si>
  <si>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</si>
  <si>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</si>
  <si>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</si>
  <si>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</si>
  <si>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</si>
  <si>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</si>
  <si>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</si>
  <si>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</si>
  <si>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</si>
  <si>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</si>
  <si>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</si>
  <si>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</si>
  <si>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</si>
  <si>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</si>
  <si>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</si>
  <si>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</si>
  <si>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</si>
  <si>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</si>
  <si>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</si>
  <si>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</si>
  <si>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</si>
  <si>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</si>
  <si>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</si>
  <si>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</si>
  <si>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</si>
  <si>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</si>
  <si>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</si>
  <si>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</si>
  <si>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</si>
  <si>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</si>
  <si>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</si>
  <si>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</si>
  <si>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</si>
  <si>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</si>
  <si>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</si>
  <si>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</si>
  <si>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</si>
  <si>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</si>
  <si>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</si>
  <si>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</si>
  <si>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</si>
  <si>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</si>
  <si>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</si>
  <si>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</si>
  <si>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</si>
  <si>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</si>
  <si>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</si>
  <si>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</si>
  <si>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</si>
  <si>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</si>
  <si>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</si>
  <si>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</si>
  <si>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</si>
  <si>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</si>
  <si>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</si>
  <si>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</si>
  <si>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</si>
  <si>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</si>
  <si>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</si>
  <si>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</si>
  <si>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</si>
  <si>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</si>
  <si>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</si>
  <si>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</si>
  <si>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</si>
  <si>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</si>
  <si>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</si>
  <si>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</si>
  <si>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</si>
  <si>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</si>
  <si>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</si>
  <si>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</si>
  <si>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</si>
  <si>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</si>
  <si>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</si>
  <si>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</si>
  <si>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</si>
  <si>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</si>
  <si>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</si>
  <si>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</si>
  <si>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</si>
  <si>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</si>
  <si>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</si>
  <si>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</si>
  <si>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</si>
  <si>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</si>
  <si>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</si>
  <si>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</si>
  <si>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</si>
  <si>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</si>
  <si>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</si>
  <si>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</si>
  <si>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</si>
  <si>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</si>
  <si>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</si>
  <si>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</si>
  <si>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</si>
  <si>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</si>
  <si>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solid glass</t>
  </si>
  <si>
    <t>LOA</t>
  </si>
  <si>
    <t>aluminium</t>
  </si>
  <si>
    <t>Fixed down</t>
  </si>
  <si>
    <t>BO</t>
  </si>
  <si>
    <t>SO</t>
  </si>
  <si>
    <t>moulded wood</t>
  </si>
  <si>
    <t>x</t>
  </si>
  <si>
    <t>y</t>
  </si>
  <si>
    <t>ply</t>
  </si>
  <si>
    <t>h</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</si>
  <si>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</si>
  <si>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</si>
  <si>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</si>
  <si>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</si>
  <si>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</si>
  <si>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</si>
  <si>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</si>
  <si>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</si>
  <si>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</si>
  <si>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</si>
  <si>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</si>
  <si>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</si>
  <si>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</si>
  <si>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</si>
  <si>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</si>
  <si>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</si>
  <si>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</si>
  <si>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</si>
  <si>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</si>
  <si>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</si>
  <si>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</si>
  <si>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</si>
  <si>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</si>
  <si>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</si>
  <si>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</si>
  <si>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</si>
  <si>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</si>
  <si>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</si>
  <si>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</si>
  <si>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</si>
  <si>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</si>
  <si>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</si>
  <si>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</si>
  <si>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</si>
  <si>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</si>
  <si>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</si>
  <si>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</si>
  <si>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</si>
  <si>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</si>
  <si>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</si>
  <si>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</si>
  <si>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</si>
  <si>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</si>
  <si>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</si>
  <si>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</si>
  <si>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</si>
  <si>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</si>
  <si>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</si>
  <si>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</si>
  <si>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</si>
  <si>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</si>
  <si>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</si>
  <si>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</si>
  <si>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</si>
  <si>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</si>
  <si>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</si>
  <si>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</si>
  <si>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</si>
  <si>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</si>
  <si>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</si>
  <si>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</si>
  <si>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</si>
  <si>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</si>
  <si>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</si>
  <si>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</si>
  <si>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</si>
  <si>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</si>
  <si>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</si>
  <si>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</si>
  <si>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</si>
  <si>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</si>
  <si>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</si>
  <si>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</si>
  <si>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</si>
  <si>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</si>
  <si>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</si>
  <si>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</si>
  <si>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</si>
  <si>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</si>
  <si>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</si>
  <si>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</si>
  <si>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</si>
  <si>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</si>
  <si>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</si>
  <si>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</si>
  <si>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</si>
  <si>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</si>
  <si>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</si>
  <si>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</si>
  <si>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</si>
  <si>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</si>
  <si>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</si>
  <si>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</si>
  <si>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</si>
  <si>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</si>
  <si>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</si>
  <si>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</si>
  <si>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</si>
  <si>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</si>
  <si>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</si>
  <si>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</si>
  <si>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</si>
  <si>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</si>
  <si>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</si>
  <si>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</si>
  <si>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</si>
  <si>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</si>
  <si>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</si>
  <si>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</si>
  <si>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</si>
  <si>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</si>
  <si>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</si>
  <si>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</si>
  <si>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</si>
  <si>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</si>
  <si>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</si>
  <si>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</si>
  <si>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</si>
  <si>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</si>
  <si>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</si>
  <si>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</si>
  <si>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</si>
  <si>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</si>
  <si>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</si>
  <si>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</si>
  <si>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</si>
  <si>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</si>
  <si>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</si>
  <si>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</si>
  <si>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</si>
  <si>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</si>
  <si>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</si>
  <si>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</si>
  <si>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</si>
  <si>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</si>
  <si>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</si>
  <si>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</si>
  <si>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</si>
  <si>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</si>
  <si>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</si>
  <si>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</si>
  <si>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</si>
  <si>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</si>
  <si>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</si>
  <si>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</si>
  <si>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</si>
  <si>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</si>
  <si>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</si>
  <si>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</si>
  <si>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</si>
  <si>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</si>
  <si>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</si>
  <si>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</si>
  <si>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</si>
  <si>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</si>
  <si>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</si>
  <si>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</si>
  <si>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</si>
  <si>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</si>
  <si>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</si>
  <si>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</si>
  <si>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</si>
  <si>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</si>
  <si>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</si>
  <si>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</si>
  <si>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</si>
  <si>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</si>
  <si>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</si>
  <si>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</si>
  <si>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</si>
  <si>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</si>
  <si>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</si>
  <si>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</si>
  <si>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</si>
  <si>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</si>
  <si>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</si>
  <si>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</si>
  <si>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</si>
  <si>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</si>
  <si>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</si>
  <si>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</si>
  <si>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</si>
  <si>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</si>
  <si>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</si>
  <si>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</si>
  <si>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</si>
  <si>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</si>
  <si>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</si>
  <si>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</si>
  <si>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</si>
  <si>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</si>
  <si>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</si>
  <si>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</si>
  <si>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</si>
  <si>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</si>
  <si>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</si>
  <si>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</si>
  <si>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</si>
  <si>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</si>
  <si>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</si>
  <si>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</si>
  <si>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</si>
  <si>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</si>
  <si>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</si>
  <si>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</si>
  <si>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</si>
  <si>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</si>
  <si>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</si>
  <si>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</si>
  <si>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</si>
  <si>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</si>
  <si>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</si>
  <si>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</si>
  <si>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</si>
  <si>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</si>
  <si>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</si>
  <si>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</si>
  <si>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</si>
  <si>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</si>
  <si>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</si>
  <si>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</si>
  <si>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</si>
  <si>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</si>
  <si>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</si>
  <si>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</si>
  <si>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</si>
  <si>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</si>
  <si>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</si>
  <si>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</si>
  <si>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</si>
  <si>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</si>
  <si>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</si>
  <si>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</si>
  <si>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</si>
  <si>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</si>
  <si>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</si>
  <si>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</si>
  <si>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</si>
  <si>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</si>
  <si>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</si>
  <si>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</si>
  <si>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</si>
  <si>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</si>
  <si>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</si>
  <si>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</si>
  <si>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</si>
  <si>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</si>
  <si>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</si>
  <si>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</si>
  <si>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</si>
  <si>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</si>
  <si>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</si>
  <si>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</si>
  <si>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</si>
  <si>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</si>
  <si>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</si>
  <si>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</si>
  <si>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</si>
  <si>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</si>
  <si>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</si>
  <si>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</si>
  <si>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</si>
  <si>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</si>
  <si>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</si>
  <si>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</si>
  <si>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</si>
  <si>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</si>
  <si>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</si>
  <si>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</si>
  <si>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</si>
  <si>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</si>
  <si>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</si>
  <si>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</si>
  <si>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</si>
  <si>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</si>
  <si>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</si>
  <si>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</si>
  <si>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</si>
  <si>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</si>
  <si>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</si>
  <si>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</si>
  <si>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</si>
  <si>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</si>
  <si>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</si>
  <si>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</si>
  <si>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</si>
  <si>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</si>
  <si>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</si>
  <si>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</si>
  <si>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</si>
  <si>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</si>
  <si>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</si>
  <si>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</si>
  <si>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</si>
  <si>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</si>
  <si>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</si>
  <si>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</si>
  <si>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</si>
  <si>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</si>
  <si>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</si>
  <si>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</si>
  <si>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</si>
  <si>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</si>
  <si>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</si>
  <si>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</si>
  <si>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</si>
  <si>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</si>
  <si>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</si>
  <si>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</si>
  <si>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</si>
  <si>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</si>
  <si>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</si>
  <si>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</si>
  <si>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</si>
  <si>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</si>
  <si>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</si>
  <si>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</si>
  <si>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</si>
  <si>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</si>
  <si>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</si>
  <si>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</si>
  <si>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</si>
  <si>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</si>
  <si>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</si>
  <si>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</si>
  <si>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</si>
  <si>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</si>
  <si>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</si>
  <si>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</si>
  <si>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</si>
  <si>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</si>
  <si>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</si>
  <si>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</si>
  <si>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</si>
  <si>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</si>
  <si>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</si>
  <si>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</si>
  <si>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</si>
  <si>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</si>
  <si>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</si>
  <si>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</si>
  <si>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</si>
  <si>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</si>
  <si>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</si>
  <si>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</si>
  <si>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</si>
  <si>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</si>
  <si>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</si>
  <si>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</si>
  <si>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</si>
  <si>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</si>
  <si>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</si>
  <si>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</si>
  <si>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</si>
  <si>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</si>
  <si>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</si>
  <si>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</si>
  <si>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</si>
  <si>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</si>
  <si>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</si>
  <si>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</si>
  <si>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</si>
  <si>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</si>
  <si>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</si>
  <si>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</si>
  <si>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</si>
  <si>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</si>
  <si>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</si>
  <si>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</si>
  <si>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</si>
  <si>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</si>
  <si>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</si>
  <si>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</si>
  <si>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</si>
  <si>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</si>
  <si>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</si>
  <si>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</si>
  <si>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</si>
  <si>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</si>
  <si>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</si>
  <si>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</si>
  <si>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</si>
  <si>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</si>
  <si>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</si>
  <si>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</si>
  <si>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</si>
  <si>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</si>
  <si>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</si>
  <si>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</si>
  <si>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</si>
  <si>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</si>
  <si>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</si>
  <si>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</si>
  <si>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</si>
  <si>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</si>
  <si>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</si>
  <si>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</si>
  <si>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</si>
  <si>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</si>
  <si>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</si>
  <si>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</si>
  <si>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</si>
  <si>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</si>
  <si>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</si>
  <si>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</si>
  <si>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</si>
  <si>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</si>
  <si>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</si>
  <si>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</si>
  <si>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</si>
  <si>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</si>
  <si>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</si>
  <si>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</si>
  <si>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</si>
  <si>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</si>
  <si>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</si>
  <si>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</si>
  <si>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</si>
  <si>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</si>
  <si>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</si>
  <si>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</si>
  <si>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</si>
  <si>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</si>
  <si>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</si>
  <si>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</si>
  <si>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</si>
  <si>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</si>
  <si>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</si>
  <si>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</si>
  <si>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</si>
  <si>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</si>
  <si>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</si>
  <si>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</si>
  <si>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</si>
  <si>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</si>
  <si>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</si>
  <si>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</si>
  <si>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</si>
  <si>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</si>
  <si>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</si>
  <si>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</si>
  <si>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</si>
  <si>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</si>
  <si>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</si>
  <si>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</si>
  <si>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</si>
  <si>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</si>
  <si>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</si>
  <si>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</si>
  <si>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</si>
  <si>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</si>
  <si>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</si>
  <si>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</si>
  <si>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</si>
  <si>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</si>
  <si>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</si>
  <si>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</si>
  <si>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</si>
  <si>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</si>
  <si>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</si>
  <si>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</si>
  <si>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</si>
  <si>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</si>
  <si>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</si>
  <si>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</si>
  <si>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</si>
  <si>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</si>
  <si>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</si>
  <si>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</si>
  <si>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</si>
  <si>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</si>
  <si>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</si>
  <si>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</si>
  <si>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</si>
  <si>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</si>
  <si>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</si>
  <si>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</si>
  <si>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</si>
  <si>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</si>
  <si>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</si>
  <si>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</si>
  <si>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</si>
  <si>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</si>
  <si>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</si>
  <si>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</si>
  <si>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</si>
  <si>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</si>
  <si>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</si>
  <si>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</si>
  <si>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</si>
  <si>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</si>
  <si>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</si>
  <si>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</si>
  <si>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</si>
  <si>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</si>
  <si>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</si>
  <si>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</si>
  <si>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</si>
  <si>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</si>
  <si>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</si>
  <si>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</si>
  <si>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</si>
  <si>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</si>
  <si>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</si>
  <si>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</si>
  <si>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</si>
  <si>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</si>
  <si>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</si>
  <si>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</si>
  <si>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</si>
  <si>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</si>
  <si>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</si>
  <si>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</si>
  <si>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</si>
  <si>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</si>
  <si>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</si>
  <si>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</si>
  <si>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</si>
  <si>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</si>
  <si>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</si>
  <si>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</si>
  <si>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</si>
  <si>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</si>
  <si>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</si>
  <si>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</si>
  <si>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</si>
  <si>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</si>
  <si>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</si>
  <si>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</si>
  <si>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</si>
  <si>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</si>
  <si>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</si>
  <si>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</si>
  <si>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</si>
  <si>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</si>
  <si>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</si>
  <si>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</si>
  <si>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</si>
  <si>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</si>
  <si>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</si>
  <si>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</si>
  <si>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</si>
  <si>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</si>
  <si>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</si>
  <si>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</si>
  <si>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</si>
  <si>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</si>
  <si>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</si>
  <si>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</si>
  <si>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</si>
  <si>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</si>
  <si>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</si>
  <si>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</si>
  <si>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</si>
  <si>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</si>
  <si>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</si>
  <si>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</si>
  <si>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</si>
  <si>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</si>
  <si>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</si>
  <si>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</si>
  <si>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</si>
  <si>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</si>
  <si>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</si>
  <si>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</si>
  <si>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</si>
  <si>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</si>
  <si>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</si>
  <si>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</si>
  <si>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</si>
  <si>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</si>
  <si>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</si>
  <si>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</si>
  <si>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</si>
  <si>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</si>
  <si>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</si>
  <si>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</si>
  <si>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</si>
  <si>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</si>
  <si>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</si>
  <si>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</si>
  <si>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</si>
  <si>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</si>
  <si>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</si>
  <si>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</si>
  <si>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</si>
  <si>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</si>
  <si>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</si>
  <si>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</si>
  <si>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</si>
  <si>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</si>
  <si>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</si>
  <si>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</si>
  <si>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</si>
  <si>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</si>
  <si>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</si>
  <si>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</si>
  <si>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</si>
  <si>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</si>
  <si>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</si>
  <si>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</si>
  <si>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</si>
  <si>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</si>
  <si>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</si>
  <si>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</si>
  <si>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</si>
  <si>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</si>
  <si>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</si>
  <si>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</si>
  <si>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</si>
  <si>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</si>
  <si>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</si>
  <si>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</si>
  <si>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</si>
  <si>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</si>
  <si>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</si>
  <si>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</si>
  <si>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</si>
  <si>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</si>
  <si>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</si>
  <si>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</si>
  <si>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</si>
  <si>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</si>
  <si>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</si>
  <si>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</si>
  <si>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</si>
  <si>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</si>
  <si>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</si>
  <si>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</si>
  <si>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</si>
  <si>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</si>
  <si>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</si>
  <si>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</si>
  <si>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</si>
  <si>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</si>
  <si>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</si>
  <si>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</si>
  <si>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</si>
  <si>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</si>
  <si>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</si>
  <si>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</si>
  <si>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</si>
  <si>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</si>
  <si>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</si>
  <si>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</si>
  <si>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</si>
  <si>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</si>
  <si>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</si>
  <si>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</si>
  <si>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</si>
  <si>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</si>
  <si>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</si>
  <si>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</si>
  <si>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</si>
  <si>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</si>
  <si>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</si>
  <si>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</si>
  <si>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</si>
  <si>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</si>
  <si>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</si>
  <si>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</si>
  <si>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</si>
  <si>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</si>
  <si>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</si>
  <si>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</si>
  <si>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</si>
  <si>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</si>
  <si>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</si>
  <si>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</si>
  <si>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</si>
  <si>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</si>
  <si>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</si>
  <si>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</si>
  <si>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</si>
  <si>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</si>
  <si>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</si>
  <si>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</si>
  <si>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</si>
  <si>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</si>
  <si>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</si>
  <si>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</si>
  <si>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</si>
  <si>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</si>
  <si>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</si>
  <si>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</si>
  <si>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</si>
  <si>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</si>
  <si>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</si>
  <si>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</si>
  <si>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</si>
  <si>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</si>
  <si>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</si>
  <si>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</si>
  <si>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</si>
  <si>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</si>
  <si>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</si>
  <si>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</si>
  <si>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</si>
  <si>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</si>
  <si>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</si>
  <si>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</si>
  <si>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</si>
  <si>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</si>
  <si>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</si>
  <si>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</si>
  <si>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</si>
  <si>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</si>
  <si>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</si>
  <si>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</si>
  <si>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</si>
  <si>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</si>
  <si>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</si>
  <si>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</si>
  <si>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</si>
  <si>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</si>
  <si>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</si>
  <si>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</si>
  <si>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</si>
  <si>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</si>
  <si>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</si>
  <si>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</si>
  <si>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</si>
  <si>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</si>
  <si>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</si>
  <si>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</si>
  <si>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</si>
  <si>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</si>
  <si>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</si>
  <si>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</si>
  <si>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</si>
  <si>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 xml:space="preserve">LH * cost per metre </t>
  </si>
  <si>
    <t>Foils that create lift</t>
  </si>
  <si>
    <t>Is the boat fitted with foils that create lift?</t>
  </si>
  <si>
    <t>lift foils YN</t>
  </si>
  <si>
    <t>If yes, the Rating Authority will contact you for more information and measurements</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</si>
  <si>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</si>
  <si>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</si>
  <si>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</si>
  <si>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</si>
  <si>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</si>
  <si>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</si>
  <si>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</si>
  <si>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</si>
  <si>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</si>
  <si>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</si>
  <si>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</si>
  <si>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</si>
  <si>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</si>
  <si>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</si>
  <si>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</si>
  <si>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</si>
  <si>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</si>
  <si>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</si>
  <si>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</si>
  <si>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</si>
  <si>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</si>
  <si>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</si>
  <si>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</si>
  <si>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</si>
  <si>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</si>
  <si>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</si>
  <si>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</si>
  <si>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</si>
  <si>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</si>
  <si>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</si>
  <si>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</si>
  <si>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</si>
  <si>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</si>
  <si>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</si>
  <si>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</si>
  <si>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</si>
  <si>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</si>
  <si>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</si>
  <si>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</si>
  <si>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</si>
  <si>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</si>
  <si>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</si>
  <si>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</si>
  <si>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</si>
  <si>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</si>
  <si>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</si>
  <si>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</si>
  <si>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</si>
  <si>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</si>
  <si>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</si>
  <si>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</si>
  <si>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</si>
  <si>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</si>
  <si>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</si>
  <si>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</si>
  <si>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</si>
  <si>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</si>
  <si>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</si>
  <si>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</si>
  <si>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</si>
  <si>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</si>
  <si>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</si>
  <si>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</si>
  <si>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</si>
  <si>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</si>
  <si>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</si>
  <si>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</si>
  <si>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</si>
  <si>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</si>
  <si>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</si>
  <si>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</si>
  <si>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</si>
  <si>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</si>
  <si>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</si>
  <si>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</si>
  <si>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</si>
  <si>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</si>
  <si>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</si>
  <si>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</si>
  <si>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</si>
  <si>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</si>
  <si>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</si>
  <si>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</si>
  <si>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</si>
  <si>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</si>
  <si>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</si>
  <si>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</si>
  <si>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</si>
  <si>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</si>
  <si>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</si>
  <si>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</si>
  <si>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</si>
  <si>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</si>
  <si>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</si>
  <si>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</si>
  <si>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</si>
  <si>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</si>
  <si>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</si>
  <si>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</si>
  <si>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</si>
  <si>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</si>
  <si>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</si>
  <si>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</si>
  <si>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</si>
  <si>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</si>
  <si>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</si>
  <si>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</si>
  <si>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</si>
  <si>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</si>
  <si>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</si>
  <si>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</si>
  <si>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</si>
  <si>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</si>
  <si>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</si>
  <si>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</si>
  <si>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</si>
  <si>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</si>
  <si>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</si>
  <si>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</si>
  <si>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</si>
  <si>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</si>
  <si>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</si>
  <si>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</si>
  <si>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</si>
  <si>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</si>
  <si>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</si>
  <si>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</si>
  <si>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</si>
  <si>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</si>
  <si>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</si>
  <si>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</si>
  <si>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</si>
  <si>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</si>
  <si>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</si>
  <si>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</si>
  <si>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</si>
  <si>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</si>
  <si>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</si>
  <si>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</si>
  <si>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</si>
  <si>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</si>
  <si>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</si>
  <si>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</si>
  <si>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</si>
  <si>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</si>
  <si>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</si>
  <si>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</si>
  <si>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</si>
  <si>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</si>
  <si>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</si>
  <si>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</si>
  <si>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</si>
  <si>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</si>
  <si>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</si>
  <si>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</si>
  <si>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</si>
  <si>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</si>
  <si>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</si>
  <si>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</si>
  <si>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</si>
  <si>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</si>
  <si>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</si>
  <si>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</si>
  <si>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</si>
  <si>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</si>
  <si>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</si>
  <si>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</si>
  <si>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</si>
  <si>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</si>
  <si>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</si>
  <si>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</si>
  <si>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</si>
  <si>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</si>
  <si>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</si>
  <si>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</si>
  <si>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</si>
  <si>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</si>
  <si>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</si>
  <si>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</si>
  <si>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</si>
  <si>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</si>
  <si>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</si>
  <si>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</si>
  <si>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</si>
  <si>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</si>
  <si>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</si>
  <si>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</si>
  <si>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</si>
  <si>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</si>
  <si>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</si>
  <si>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</si>
  <si>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</si>
  <si>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</si>
  <si>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</si>
  <si>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</si>
  <si>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</si>
  <si>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</si>
  <si>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</si>
  <si>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</si>
  <si>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</si>
  <si>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</si>
  <si>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</si>
  <si>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</si>
  <si>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</si>
  <si>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</si>
  <si>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</si>
  <si>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</si>
  <si>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</si>
  <si>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</si>
  <si>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</si>
  <si>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</si>
  <si>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</si>
  <si>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</si>
  <si>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</si>
  <si>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</si>
  <si>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</si>
  <si>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</si>
  <si>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</si>
  <si>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</si>
  <si>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</si>
  <si>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</si>
  <si>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</si>
  <si>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</si>
  <si>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</si>
  <si>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</si>
  <si>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</si>
  <si>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</si>
  <si>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</si>
  <si>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</si>
  <si>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</si>
  <si>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</si>
  <si>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</si>
  <si>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</si>
  <si>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</si>
  <si>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</si>
  <si>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</si>
  <si>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</si>
  <si>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</si>
  <si>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</si>
  <si>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</si>
  <si>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</si>
  <si>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</si>
  <si>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</si>
  <si>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</si>
  <si>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</si>
  <si>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</si>
  <si>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</si>
  <si>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</si>
  <si>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</si>
  <si>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</si>
  <si>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</si>
  <si>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</si>
  <si>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</si>
  <si>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</si>
  <si>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</si>
  <si>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</si>
  <si>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</si>
  <si>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</si>
  <si>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</si>
  <si>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</si>
  <si>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</si>
  <si>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</si>
  <si>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</si>
  <si>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</si>
  <si>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</si>
  <si>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</si>
  <si>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</si>
  <si>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</si>
  <si>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</si>
  <si>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</si>
  <si>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</si>
  <si>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</si>
  <si>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</si>
  <si>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</si>
  <si>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</si>
  <si>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</si>
  <si>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</si>
  <si>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</si>
  <si>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</si>
  <si>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</si>
  <si>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</si>
  <si>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</si>
  <si>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</si>
  <si>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</si>
  <si>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</si>
  <si>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</si>
  <si>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</si>
  <si>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</si>
  <si>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</si>
  <si>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</si>
  <si>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</si>
  <si>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</si>
  <si>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</si>
  <si>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</si>
  <si>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</si>
  <si>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</si>
  <si>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</si>
  <si>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</si>
  <si>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</si>
  <si>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</si>
  <si>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</si>
  <si>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</si>
  <si>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</si>
  <si>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</si>
  <si>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</si>
  <si>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</si>
  <si>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</si>
  <si>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</si>
  <si>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</si>
  <si>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</si>
  <si>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</si>
  <si>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</si>
  <si>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</si>
  <si>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</si>
  <si>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</si>
  <si>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</si>
  <si>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</si>
  <si>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</si>
  <si>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</si>
  <si>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</si>
  <si>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</si>
  <si>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</si>
  <si>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</si>
  <si>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</si>
  <si>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</si>
  <si>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</si>
  <si>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</si>
  <si>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</si>
  <si>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</si>
  <si>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</si>
  <si>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</si>
  <si>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</si>
  <si>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</si>
  <si>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</si>
  <si>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</si>
  <si>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</si>
  <si>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</si>
  <si>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</si>
  <si>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</si>
  <si>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</si>
  <si>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</si>
  <si>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</si>
  <si>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</si>
  <si>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</si>
  <si>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</si>
  <si>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</si>
  <si>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</si>
  <si>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</si>
  <si>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</si>
  <si>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</si>
  <si>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</si>
  <si>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</si>
  <si>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</si>
  <si>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</si>
  <si>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</si>
  <si>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</si>
  <si>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</si>
  <si>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</si>
  <si>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</si>
  <si>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</si>
  <si>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</si>
  <si>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</si>
  <si>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</si>
  <si>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</si>
  <si>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</si>
  <si>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</si>
  <si>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</si>
  <si>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</si>
  <si>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</si>
  <si>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</si>
  <si>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</si>
  <si>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</si>
  <si>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</si>
  <si>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</si>
  <si>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</si>
  <si>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</si>
  <si>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</si>
  <si>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</si>
  <si>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</si>
  <si>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</si>
  <si>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</si>
  <si>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</si>
  <si>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</si>
  <si>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</si>
  <si>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</si>
  <si>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</si>
  <si>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</si>
  <si>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</si>
  <si>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</si>
  <si>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</si>
  <si>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</si>
  <si>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</si>
  <si>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</si>
  <si>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</si>
  <si>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</si>
  <si>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</si>
  <si>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</si>
  <si>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</si>
  <si>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</si>
  <si>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</si>
  <si>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</si>
  <si>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</si>
  <si>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</si>
  <si>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</si>
  <si>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</si>
  <si>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</si>
  <si>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</si>
  <si>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</si>
  <si>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</si>
  <si>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</si>
  <si>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</si>
  <si>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</si>
  <si>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</si>
  <si>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</si>
  <si>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</si>
  <si>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</si>
  <si>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</si>
  <si>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</si>
  <si>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</si>
  <si>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</si>
  <si>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</si>
  <si>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</si>
  <si>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</si>
  <si>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</si>
  <si>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</si>
  <si>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</si>
  <si>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</si>
  <si>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</si>
  <si>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</si>
  <si>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</si>
  <si>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</si>
  <si>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</si>
  <si>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</si>
  <si>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</si>
  <si>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</si>
  <si>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</si>
  <si>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</si>
  <si>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</si>
  <si>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</si>
  <si>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</si>
  <si>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</si>
  <si>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</si>
  <si>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</si>
  <si>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</si>
  <si>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</si>
  <si>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</si>
  <si>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</si>
  <si>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</si>
  <si>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</si>
  <si>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</si>
  <si>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</si>
  <si>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</si>
  <si>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</si>
  <si>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</si>
  <si>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</si>
  <si>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</si>
  <si>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</si>
  <si>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</si>
  <si>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</si>
  <si>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</si>
  <si>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</si>
  <si>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</si>
  <si>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</si>
  <si>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</si>
  <si>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</si>
  <si>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</si>
  <si>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</si>
  <si>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</si>
  <si>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</si>
  <si>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</si>
  <si>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</si>
  <si>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</si>
  <si>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</si>
  <si>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</si>
  <si>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</si>
  <si>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</si>
  <si>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</si>
  <si>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</si>
  <si>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</si>
  <si>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</si>
  <si>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</si>
  <si>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</si>
  <si>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</si>
  <si>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</si>
  <si>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</si>
  <si>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</si>
  <si>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</si>
  <si>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</si>
  <si>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</si>
  <si>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</si>
  <si>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</si>
  <si>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</si>
  <si>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</si>
  <si>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</si>
  <si>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</si>
  <si>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</si>
  <si>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</si>
  <si>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</si>
  <si>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</si>
  <si>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</si>
  <si>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</si>
  <si>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</si>
  <si>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</si>
  <si>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</si>
  <si>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</si>
  <si>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</si>
  <si>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</si>
  <si>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</si>
  <si>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</si>
  <si>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</si>
  <si>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</si>
  <si>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</si>
  <si>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</si>
  <si>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</si>
  <si>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</si>
  <si>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</si>
  <si>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</si>
  <si>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</si>
  <si>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</si>
  <si>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</si>
  <si>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</si>
  <si>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</si>
  <si>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</si>
  <si>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</si>
  <si>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</si>
  <si>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</si>
  <si>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</si>
  <si>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</si>
  <si>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</si>
  <si>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</si>
  <si>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</si>
  <si>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</si>
  <si>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</si>
  <si>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</si>
  <si>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</si>
  <si>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</si>
  <si>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</si>
  <si>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</si>
  <si>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</si>
  <si>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</si>
  <si>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</si>
  <si>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</si>
  <si>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</si>
  <si>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</si>
  <si>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</si>
  <si>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</si>
  <si>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</si>
  <si>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</si>
  <si>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</si>
  <si>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</si>
  <si>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</si>
  <si>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</si>
  <si>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</si>
  <si>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</si>
  <si>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</si>
  <si>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</si>
  <si>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</si>
  <si>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</si>
  <si>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</si>
  <si>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</si>
  <si>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</si>
  <si>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</si>
  <si>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</si>
  <si>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</si>
  <si>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</si>
  <si>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</si>
  <si>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</si>
  <si>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</si>
  <si>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</si>
  <si>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</si>
  <si>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</si>
  <si>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</si>
  <si>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</si>
  <si>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</si>
  <si>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</si>
  <si>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</si>
  <si>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</si>
  <si>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</si>
  <si>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</si>
  <si>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PRFV sólido</t>
  </si>
  <si>
    <t>Aluminio</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</si>
  <si>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</si>
  <si>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</si>
  <si>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</si>
  <si>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</si>
  <si>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</si>
  <si>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</si>
  <si>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</si>
  <si>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</si>
  <si>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</si>
  <si>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</si>
  <si>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</si>
  <si>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</si>
  <si>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</si>
  <si>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</si>
  <si>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</si>
  <si>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</si>
  <si>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</si>
  <si>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</si>
  <si>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</si>
  <si>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</si>
  <si>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</si>
  <si>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</si>
  <si>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</si>
  <si>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</si>
  <si>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</si>
  <si>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</si>
  <si>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</si>
  <si>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</si>
  <si>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</si>
  <si>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</si>
  <si>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</si>
  <si>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</si>
  <si>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</si>
  <si>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</si>
  <si>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</si>
  <si>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</si>
  <si>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</si>
  <si>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</si>
  <si>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</si>
  <si>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</si>
  <si>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</si>
  <si>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</si>
  <si>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</si>
  <si>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</si>
  <si>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</si>
  <si>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</si>
  <si>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</si>
  <si>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</si>
  <si>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</si>
  <si>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</si>
  <si>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</si>
  <si>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</si>
  <si>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</si>
  <si>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</si>
  <si>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</si>
  <si>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</si>
  <si>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</si>
  <si>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</si>
  <si>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</si>
  <si>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</si>
  <si>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</si>
  <si>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</si>
  <si>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</si>
  <si>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</si>
  <si>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</si>
  <si>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</si>
  <si>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</si>
  <si>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</si>
  <si>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</si>
  <si>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</si>
  <si>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</si>
  <si>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</si>
  <si>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</si>
  <si>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</si>
  <si>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</si>
  <si>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</si>
  <si>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</si>
  <si>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</si>
  <si>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</si>
  <si>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</si>
  <si>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</si>
  <si>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</si>
  <si>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</si>
  <si>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</si>
  <si>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</si>
  <si>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</si>
  <si>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</si>
  <si>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</si>
  <si>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</si>
  <si>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</si>
  <si>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</si>
  <si>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</si>
  <si>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</si>
  <si>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</si>
  <si>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</si>
  <si>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</si>
  <si>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</si>
  <si>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</si>
  <si>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</si>
  <si>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</si>
  <si>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</si>
  <si>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</si>
  <si>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</si>
  <si>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</si>
  <si>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</si>
  <si>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</si>
  <si>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</si>
  <si>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</si>
  <si>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</si>
  <si>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</si>
  <si>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</si>
  <si>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</si>
  <si>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</si>
  <si>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</si>
  <si>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</si>
  <si>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</si>
  <si>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</si>
  <si>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</si>
  <si>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</si>
  <si>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</si>
  <si>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</si>
  <si>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</si>
  <si>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</si>
  <si>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</si>
  <si>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</si>
  <si>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</si>
  <si>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</si>
  <si>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</si>
  <si>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</si>
  <si>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</si>
  <si>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</si>
  <si>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</si>
  <si>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</si>
  <si>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</si>
  <si>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</si>
  <si>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</si>
  <si>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</si>
  <si>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</si>
  <si>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</si>
  <si>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</si>
  <si>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</si>
  <si>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</si>
  <si>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</si>
  <si>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</si>
  <si>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</si>
  <si>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</si>
  <si>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</si>
  <si>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</si>
  <si>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</si>
  <si>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</si>
  <si>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</si>
  <si>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</si>
  <si>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</si>
  <si>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</si>
  <si>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</si>
  <si>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</si>
  <si>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</si>
  <si>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</si>
  <si>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</si>
  <si>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</si>
  <si>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</si>
  <si>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</si>
  <si>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</si>
  <si>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</si>
  <si>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</si>
  <si>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</si>
  <si>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</si>
  <si>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</si>
  <si>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</si>
  <si>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</si>
  <si>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</si>
  <si>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</si>
  <si>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</si>
  <si>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</si>
  <si>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</si>
  <si>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</si>
  <si>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</si>
  <si>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</si>
  <si>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</si>
  <si>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</si>
  <si>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</si>
  <si>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</si>
  <si>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</si>
  <si>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</si>
  <si>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</si>
  <si>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</si>
  <si>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</si>
  <si>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</si>
  <si>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</si>
  <si>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</si>
  <si>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</si>
  <si>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</si>
  <si>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</si>
  <si>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</si>
  <si>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</si>
  <si>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</si>
  <si>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</si>
  <si>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</si>
  <si>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</si>
  <si>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</si>
  <si>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</si>
  <si>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</si>
  <si>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</si>
  <si>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</si>
  <si>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</si>
  <si>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</si>
  <si>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</si>
  <si>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</si>
  <si>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</si>
  <si>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</si>
  <si>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</si>
  <si>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</si>
  <si>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</si>
  <si>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</si>
  <si>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</si>
  <si>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</si>
  <si>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</si>
  <si>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</si>
  <si>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</si>
  <si>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</si>
  <si>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</si>
  <si>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</si>
  <si>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</si>
  <si>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</si>
  <si>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</si>
  <si>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</si>
  <si>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</si>
  <si>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</si>
  <si>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</si>
  <si>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</si>
  <si>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</si>
  <si>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</si>
  <si>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</si>
  <si>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</si>
  <si>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</si>
  <si>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</si>
  <si>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</si>
  <si>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</si>
  <si>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</si>
  <si>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</si>
  <si>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</si>
  <si>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</si>
  <si>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</si>
  <si>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</si>
  <si>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</si>
  <si>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</si>
  <si>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</si>
  <si>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</si>
  <si>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</si>
  <si>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</si>
  <si>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</si>
  <si>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</si>
  <si>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</si>
  <si>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</si>
  <si>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</si>
  <si>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</si>
  <si>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</si>
  <si>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</si>
  <si>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</si>
  <si>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</si>
  <si>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</si>
  <si>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</si>
  <si>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</si>
  <si>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</si>
  <si>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</si>
  <si>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</si>
  <si>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</si>
  <si>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</si>
  <si>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</si>
  <si>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</si>
  <si>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</si>
  <si>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2"/>
  </si>
  <si>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</si>
  <si>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</si>
  <si>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</si>
  <si>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</si>
  <si>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</si>
  <si>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</si>
  <si>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</si>
  <si>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</si>
  <si>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2"/>
  </si>
  <si>
    <t>ウイスカポールを風下にセットする申告</t>
    <rPh sb="8" eb="10">
      <t>カザシモ</t>
    </rPh>
    <rPh sb="16" eb="18">
      <t>シンコク</t>
    </rPh>
    <phoneticPr fontId="2"/>
  </si>
  <si>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</si>
  <si>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</si>
  <si>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</si>
  <si>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</si>
  <si>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</si>
  <si>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</si>
  <si>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</si>
  <si>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</si>
  <si>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</si>
  <si>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</si>
  <si>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</si>
  <si>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</si>
  <si>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</si>
  <si>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</si>
  <si>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</si>
  <si>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</si>
  <si>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</si>
  <si>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</si>
  <si>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</si>
  <si>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</si>
  <si>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</si>
  <si>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</si>
  <si>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</si>
  <si>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</si>
  <si>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</si>
  <si>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</si>
  <si>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</si>
  <si>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</si>
  <si>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</si>
  <si>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</si>
  <si>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</si>
  <si>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</si>
  <si>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</si>
  <si>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</si>
  <si>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</si>
  <si>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</si>
  <si>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</si>
  <si>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</si>
  <si>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</si>
  <si>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</si>
  <si>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</si>
  <si>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</si>
  <si>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</si>
  <si>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</si>
  <si>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</si>
  <si>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</si>
  <si>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</si>
  <si>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</si>
  <si>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</si>
  <si>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</si>
  <si>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</si>
  <si>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</si>
  <si>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</si>
  <si>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</si>
  <si>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</si>
  <si>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</si>
  <si>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</si>
  <si>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4"/>
  </si>
  <si>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</si>
  <si>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</si>
  <si>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</si>
  <si>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</si>
  <si>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4"/>
  </si>
  <si>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</si>
  <si>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</si>
  <si>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</si>
  <si>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</si>
  <si>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</si>
  <si>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</si>
  <si>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</si>
  <si>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</si>
  <si>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</si>
  <si>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</si>
  <si>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</si>
  <si>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</si>
  <si>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</si>
  <si>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</si>
  <si>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</si>
  <si>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</si>
  <si>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</si>
  <si>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</si>
  <si>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</si>
  <si>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</si>
  <si>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</si>
  <si>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</si>
  <si>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</si>
  <si>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</si>
  <si>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</si>
  <si>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</si>
  <si>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</si>
  <si>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</si>
  <si>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</si>
  <si>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</si>
  <si>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</si>
  <si>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</si>
  <si>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</si>
  <si>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</si>
  <si>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</si>
  <si>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</si>
  <si>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</si>
  <si>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</si>
  <si>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</si>
  <si>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</si>
  <si>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2"/>
  </si>
  <si>
    <t>バックステイを含む、イラスト参照</t>
    <rPh sb="7" eb="8">
      <t>フク</t>
    </rPh>
    <rPh sb="14" eb="16">
      <t>サンショウ</t>
    </rPh>
    <phoneticPr fontId="2"/>
  </si>
  <si>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2"/>
  </si>
  <si>
    <t>シングルファールヘッドセイルは非適用　ー　反映されない</t>
    <rPh sb="15" eb="16">
      <t>ヒ</t>
    </rPh>
    <rPh sb="16" eb="18">
      <t>テキヨウ</t>
    </rPh>
    <rPh sb="21" eb="23">
      <t>ハンエイ</t>
    </rPh>
    <phoneticPr fontId="2"/>
  </si>
  <si>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2"/>
  </si>
  <si>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</si>
  <si>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</si>
  <si>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</si>
  <si>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</si>
  <si>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</si>
  <si>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</si>
  <si>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</si>
  <si>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</si>
  <si>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</si>
  <si>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</si>
  <si>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</si>
  <si>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</si>
  <si>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</si>
  <si>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</si>
  <si>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</si>
  <si>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</si>
  <si>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</si>
  <si>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</si>
  <si>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</si>
  <si>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</si>
  <si>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</si>
  <si>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</si>
  <si>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</si>
  <si>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</si>
  <si>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</si>
  <si>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</si>
  <si>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</si>
  <si>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</si>
  <si>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</si>
  <si>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</si>
  <si>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</si>
  <si>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</si>
  <si>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</si>
  <si>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</si>
  <si>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</si>
  <si>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</si>
  <si>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</si>
  <si>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</si>
  <si>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</si>
  <si>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</si>
  <si>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</si>
  <si>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</si>
  <si>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</si>
  <si>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</si>
  <si>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</si>
  <si>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</si>
  <si>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</si>
  <si>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</si>
  <si>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</si>
  <si>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</si>
  <si>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</si>
  <si>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</si>
  <si>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</si>
  <si>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</si>
  <si>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</si>
  <si>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</si>
  <si>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Sail ID: IHC # or other identifier</t>
  </si>
  <si>
    <t>ID vela: IHC # o altro identificatore</t>
  </si>
  <si>
    <t>ID de vela: IHC # u otro identificador</t>
  </si>
  <si>
    <t>Sail ID: IHC# ou outro identificador</t>
  </si>
  <si>
    <t>HeadsailIHC</t>
  </si>
  <si>
    <t>MainIHC</t>
  </si>
  <si>
    <t>SpinIHC</t>
  </si>
  <si>
    <t>AsymSpinIHC</t>
  </si>
  <si>
    <t>MizzenIHC</t>
  </si>
  <si>
    <t>FlyingHeadsailIHC</t>
  </si>
  <si>
    <t>added 2025</t>
  </si>
  <si>
    <t>SUN FAST 30 OD</t>
  </si>
  <si>
    <t>9.00</t>
  </si>
  <si>
    <t>2024</t>
  </si>
  <si>
    <t>ELAN E6 2.80</t>
  </si>
  <si>
    <t>14.10</t>
  </si>
  <si>
    <t>2023</t>
  </si>
  <si>
    <t>OCEANIS YACHT 60 2.66</t>
  </si>
  <si>
    <t>17.60</t>
  </si>
  <si>
    <t>2.66</t>
  </si>
  <si>
    <t>ARCONA 435 (22) 2.30</t>
  </si>
  <si>
    <t>13.63</t>
  </si>
  <si>
    <t>ARCONA 430 2.55</t>
  </si>
  <si>
    <t>FARR X2</t>
  </si>
  <si>
    <t>9.20</t>
  </si>
  <si>
    <t>FIRST 44 (22) 2.45</t>
  </si>
  <si>
    <t>13.19</t>
  </si>
  <si>
    <t>GRAND SOLEIL 40 (22) 2.15</t>
  </si>
  <si>
    <t>GRAND SOLEIL 40 (22) 2.40</t>
  </si>
  <si>
    <t>11.9</t>
  </si>
  <si>
    <t>ITALIA 1298 FUORISERIE (22) 2.50</t>
  </si>
  <si>
    <t>13.16</t>
  </si>
  <si>
    <t>MAT 1220 2.50 Fin6</t>
  </si>
  <si>
    <t>MAT 1220 2.90 T</t>
  </si>
  <si>
    <t>12.20</t>
  </si>
  <si>
    <t>MAT 12 2.55</t>
  </si>
  <si>
    <t>NEO 570 C 4.20</t>
  </si>
  <si>
    <t>17.62</t>
  </si>
  <si>
    <t>4.20</t>
  </si>
  <si>
    <t>X 4-3 (22) 2.20</t>
  </si>
  <si>
    <t>X 4-3 (22) 2.50</t>
  </si>
  <si>
    <t>BRENTA 34 2.20</t>
  </si>
  <si>
    <t>DUFOUR 470 2.25</t>
  </si>
  <si>
    <t>J 45 2.30</t>
  </si>
  <si>
    <t>13.84</t>
  </si>
  <si>
    <t>OCEANIS 34.1 2.00</t>
  </si>
  <si>
    <t>POGO 44 3.10</t>
  </si>
  <si>
    <t>12.80</t>
  </si>
  <si>
    <t>3.10</t>
  </si>
  <si>
    <t>HANSE 675 3.10</t>
  </si>
  <si>
    <t>20.50</t>
  </si>
  <si>
    <t>HANSE 630e 2.95</t>
  </si>
  <si>
    <t>HANSE 545 2.80</t>
  </si>
  <si>
    <t>OCEANIS 40.1 2.27 Perf</t>
  </si>
  <si>
    <t>2.27</t>
  </si>
  <si>
    <t>CODE 0.1 SD 1.75</t>
  </si>
  <si>
    <t>DEHLER 30 2.19 (not OD)</t>
  </si>
  <si>
    <t>DUFOUR 390 GL 1.95</t>
  </si>
  <si>
    <t>11.19</t>
  </si>
  <si>
    <t>GRAND SOLEIL 42 LC 2.25</t>
  </si>
  <si>
    <t>13.85</t>
  </si>
  <si>
    <t>PLATU 25 - If One design class compliant  use OD application form</t>
  </si>
  <si>
    <t>PLATU 25  - If One design class compliant  use OD application form</t>
  </si>
  <si>
    <t>ARCONA 435 (22) 2.55</t>
  </si>
  <si>
    <t>J 45 2.60</t>
  </si>
  <si>
    <t>DUFOUR 455 GL 2.00</t>
  </si>
  <si>
    <t>DUFOUR 455 GL 2.20</t>
  </si>
  <si>
    <t>RO 330 2.10</t>
  </si>
  <si>
    <t>DUFOUR 35 CLASSIC 1.80</t>
  </si>
  <si>
    <t>DUFOUR 36 CLASSIC 1.80</t>
  </si>
  <si>
    <t>TEMPEST 1.15 BK</t>
  </si>
  <si>
    <t>9.19</t>
  </si>
  <si>
    <t>1.15</t>
  </si>
  <si>
    <t>1987</t>
  </si>
  <si>
    <t>ELAN 410 2.10</t>
  </si>
  <si>
    <t>ELAN 410 2.45</t>
  </si>
  <si>
    <t>DEHLER 38 (13) SQ 2.03</t>
  </si>
  <si>
    <t>2.03</t>
  </si>
  <si>
    <t>SWAN 441 2.40</t>
  </si>
  <si>
    <t>OCEANIS 51.1 2.30</t>
  </si>
  <si>
    <t>14.98</t>
  </si>
  <si>
    <t>ITALIA 1398 2.55</t>
  </si>
  <si>
    <t>13.98</t>
  </si>
  <si>
    <t>2012</t>
  </si>
  <si>
    <t>HANSE 455 2.25 T</t>
  </si>
  <si>
    <t>HANSE 455 2.19 L</t>
  </si>
  <si>
    <t>X 4-6 2.50</t>
  </si>
  <si>
    <t>FIRST 32 1.80</t>
  </si>
  <si>
    <t>ELIZABETHAN 29</t>
  </si>
  <si>
    <t>8.83</t>
  </si>
  <si>
    <t>1.30</t>
  </si>
  <si>
    <t>1960</t>
  </si>
  <si>
    <t>SUN ODYSSEY 44 (87) 2.10</t>
  </si>
  <si>
    <t>SUN MAGIC 44 2.10</t>
  </si>
  <si>
    <t>13.10</t>
  </si>
  <si>
    <t>SWAN 44 (72) 2.30</t>
  </si>
  <si>
    <t>DONNEES DE COQUE STANDARD : ne remplissez pas les cellules grisées</t>
  </si>
  <si>
    <t>Matériau dans le voile de quille (reg 19.6)</t>
  </si>
  <si>
    <t>Materiale nella lama della chiglia (reg 19.6)</t>
  </si>
  <si>
    <t>Material en la aleta de la quilla (rule 19.6)</t>
  </si>
  <si>
    <t>Application fee and payment</t>
  </si>
  <si>
    <t>Application des frais et règlements</t>
  </si>
  <si>
    <t>GB Pounds</t>
  </si>
  <si>
    <t>Euros</t>
  </si>
  <si>
    <t>Make selection below to complete fee calculation</t>
  </si>
  <si>
    <t>Procéder à la sélection ci-dessous pour effectuer le calcul des frais</t>
  </si>
  <si>
    <t>Seahorse Rating Limited* accorde une grande importance à votre vie privée et utilisera vos informations personnelles uniquement pour gérer votre compte et fournir les produits et services que vous avez demandés. Cela inclut la transmission de vos coordonnées à votre Autorité IRC afin qu’elle puisse vous envoyer des rappels pour revalider votre certificat et vous expédier un Yearbook IRC lorsque cela est applicable. Nous fournirons également votre nom, numéro de certificat et code de validation d’offre à nos partenaires des Offres Membres IRC* exclusivement dans le but d’activer et de valider vos offres. Nous ne vendrons ni n’échangerons vos informations personnelles.</t>
  </si>
  <si>
    <t xml:space="preserve">Cependant, de temps à autre, nous ou nos partenaires des Offres Membres IRC aimerions également vous contacter par email pour des newsletters et des informations sur les offres pour les membres IRC, des réductions, des événements et d'autres communications de Seahorse Rating Limited et de nos partenaires des Offres Membres. Si vous consentez et acceptez de recevoir ces communications par email, veuillez cocher la case : </t>
  </si>
  <si>
    <t xml:space="preserve"> *Seahorse Rating Ltd trades as the RORC Rating Office. IRC Member Offer Partners are:  </t>
  </si>
  <si>
    <t>Seahorse Magazine and SeaSure.</t>
  </si>
  <si>
    <t xml:space="preserve">Seahorse Rating Ltd exerce ses activités sous le nom de RORC Rating Office. Les partenaires des Offres Membres IRC sont : </t>
  </si>
  <si>
    <t xml:space="preserve">Seahorse Magazine et SeaSure. </t>
  </si>
  <si>
    <t>セイル ID:IHC # またはその他の識別子</t>
  </si>
  <si>
    <t>ID de voile: IHC # ou autre identifiant</t>
  </si>
  <si>
    <t>flying headsail data complete</t>
  </si>
  <si>
    <t>v. 251125</t>
  </si>
  <si>
    <t>exotic core (e.g. honeycomb)</t>
  </si>
  <si>
    <t>carbon foam sandwich</t>
  </si>
  <si>
    <t>kevlar foam sandwich</t>
  </si>
  <si>
    <t>glass foam sandwich</t>
  </si>
  <si>
    <t>Other or various (give full details)</t>
  </si>
  <si>
    <t>noyau composite exotique (exp: nid d’abeilles)</t>
  </si>
  <si>
    <t>sandwich carbone/mousse</t>
  </si>
  <si>
    <t>sandwich kevlar/mousse</t>
  </si>
  <si>
    <t>sandwich verre/mousse</t>
  </si>
  <si>
    <t>Autre ou des variantes existent (donnez tous les détails)</t>
  </si>
  <si>
    <t>nucleo esotico in composito (es. nido d’ape)</t>
  </si>
  <si>
    <t>sandwich carbonio/schiuma</t>
  </si>
  <si>
    <t>sandwich kevlar/schiuma</t>
  </si>
  <si>
    <t>sandwich vetro/schiuma</t>
  </si>
  <si>
    <t>Altro" o esistono delle varianti (dare tutti i dettagli)</t>
  </si>
  <si>
    <t>núcleo compuesto exótico (ej: nido de abeja)</t>
  </si>
  <si>
    <t>sandwich carbono/espuma</t>
  </si>
  <si>
    <t>sandwich kevlar/espuma</t>
  </si>
  <si>
    <t>sandwich fibra vidrio/espuma</t>
  </si>
  <si>
    <t>Otros y de variantes existente (da todos los detalles)</t>
  </si>
  <si>
    <t>exotic core (eg honeycomb)</t>
  </si>
  <si>
    <t>núcleo compósito exótico (ex.: favo)</t>
  </si>
  <si>
    <t>sanduíche carbono/espuma</t>
  </si>
  <si>
    <t>sanduíche Kevlar/espuma</t>
  </si>
  <si>
    <t>sanduíche de espuma de vidro</t>
  </si>
  <si>
    <t>Outros ou diferentes (dê todos os detalhes)</t>
  </si>
  <si>
    <t>Eg propriétaire, mesureur (nom)</t>
  </si>
  <si>
    <t>Eg proprietario, misuratore (nome)</t>
  </si>
  <si>
    <t>eg propietario, medidor (nombre)</t>
  </si>
  <si>
    <t>Ex.: Armador ou Medidor</t>
  </si>
  <si>
    <t>Eg. owner, measurer (name)</t>
  </si>
  <si>
    <t>Source of Data (required)</t>
  </si>
  <si>
    <t>Source  de Données (a remplir)</t>
  </si>
  <si>
    <t>Fonte dei Dati (necessario)</t>
  </si>
  <si>
    <t>Fuente de Datos (necesario)</t>
  </si>
  <si>
    <t>Fonte de Dados (requerido)</t>
  </si>
  <si>
    <t>double sur tableau arrière</t>
  </si>
  <si>
    <t>doppio su specchio di poppa</t>
  </si>
  <si>
    <t>doble sobre el espejo de popa</t>
  </si>
  <si>
    <t>suspensa</t>
  </si>
  <si>
    <t>skeg pequeno IOR</t>
  </si>
  <si>
    <t>popa moderna</t>
  </si>
  <si>
    <t>skeg grande</t>
  </si>
  <si>
    <t>duple suspenso</t>
  </si>
  <si>
    <t>duple popa moderna</t>
  </si>
  <si>
    <t>skeg completo</t>
  </si>
  <si>
    <t>tradicional na quilha</t>
  </si>
  <si>
    <t>heavy classic wood</t>
  </si>
  <si>
    <t>madeira moldada</t>
  </si>
  <si>
    <t>madeira tradicional</t>
  </si>
  <si>
    <r>
      <t xml:space="preserve">JPN </t>
    </r>
    <r>
      <rPr>
        <b/>
        <sz val="9"/>
        <color rgb="FF0000FF"/>
        <rFont val="ＭＳ Ｐゴシック"/>
        <family val="2"/>
        <charset val="128"/>
      </rPr>
      <t>円</t>
    </r>
    <rPh sb="4" eb="5">
      <t>ｴﾝ</t>
    </rPh>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</si>
</sst>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
    <numFmt numFmtId="178" formatCode="&quot;£&quot;#,##0.00"/>
    <numFmt numFmtId="179" formatCode="mm/yy"/>
    <numFmt numFmtId="180" formatCode="[$-809]dd\ mmmm\ yyyy;@"/>
    <numFmt numFmtId="181" formatCode="dd/mm/yyyy;@"/>
  </numFmts>
  <fonts count="194">
    <font>
      <sz val="10"/>
      <name val="Arial"/>
    </font>
    <font>
      <sz val="11"/>
      <color theme="1"/>
      <name val="ＭＳ Ｐゴシック"/>
      <family val="2"/>
      <scheme val="minor"/>
    </font>
    <font>
      <sz val="11"/>
      <color theme="1"/>
      <name val="ＭＳ Ｐゴシック"/>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ＭＳ Ｐゴシック"/>
      <family val="2"/>
      <scheme val="minor"/>
    </font>
    <font>
      <sz val="10"/>
      <color rgb="FFFF0000"/>
      <name val="Arial"/>
      <family val="2"/>
    </font>
    <font>
      <b/>
      <sz val="10"/>
      <color rgb="FF0070C0"/>
      <name val="Arial"/>
      <family val="2"/>
    </font>
    <font>
      <sz val="9"/>
      <color rgb="FFFF0000"/>
      <name val="Arial"/>
      <family val="2"/>
    </font>
    <font>
      <sz val="11"/>
      <color rgb="FF212121"/>
      <name val="ＭＳ Ｐゴシック"/>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ＭＳ Ｐゴシック"/>
      <family val="2"/>
      <scheme val="minor"/>
    </font>
    <font>
      <sz val="9"/>
      <color rgb="FF0070C0"/>
      <name val="Arial"/>
      <family val="2"/>
    </font>
    <font>
      <sz val="10"/>
      <color rgb="FF0070C0"/>
      <name val="Arial"/>
      <family val="2"/>
    </font>
    <font>
      <sz val="9"/>
      <name val="ＭＳ Ｐゴシック"/>
      <family val="3"/>
      <charset val="128"/>
      <scheme val="minor"/>
    </font>
    <font>
      <sz val="10"/>
      <color rgb="FF00B050"/>
      <name val="Arial"/>
      <family val="2"/>
    </font>
    <font>
      <sz val="9"/>
      <color rgb="FF00B050"/>
      <name val="Arial"/>
      <family val="2"/>
    </font>
    <font>
      <sz val="9"/>
      <color rgb="FF00B050"/>
      <name val="ＭＳ Ｐゴシック"/>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1"/>
      <color theme="1"/>
      <name val="ＭＳ Ｐゴシック"/>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ＭＳ Ｐゴシック"/>
      <family val="2"/>
      <scheme val="minor"/>
    </font>
    <font>
      <sz val="11"/>
      <color rgb="FF202124"/>
      <name val="ＭＳ Ｐゴシック"/>
      <family val="2"/>
      <scheme val="minor"/>
    </font>
    <font>
      <sz val="9"/>
      <color rgb="FF202124"/>
      <name val="Arial"/>
      <family val="2"/>
    </font>
    <font>
      <b/>
      <sz val="8"/>
      <color indexed="12"/>
      <name val="Arial"/>
      <family val="2"/>
    </font>
    <font>
      <u/>
      <sz val="8"/>
      <color indexed="12"/>
      <name val="Arial"/>
      <family val="2"/>
    </font>
    <font>
      <b/>
      <sz val="9"/>
      <color rgb="FF0000FF"/>
      <name val="ＭＳ Ｐゴシック"/>
      <family val="2"/>
      <charset val="128"/>
    </font>
    <font>
      <sz val="6"/>
      <name val="ＭＳ Ｐゴシック"/>
      <family val="3"/>
      <charset val="128"/>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CC"/>
      </patternFill>
    </fill>
    <fill>
      <patternFill patternType="solid">
        <fgColor theme="4" tint="0.79998168889431442"/>
        <bgColor indexed="64"/>
      </patternFill>
    </fill>
    <fill>
      <patternFill patternType="solid">
        <fgColor theme="5" tint="-0.249977111117893"/>
        <bgColor indexed="64"/>
      </patternFill>
    </fill>
    <fill>
      <patternFill patternType="solid">
        <fgColor rgb="FF80E23E"/>
        <bgColor indexed="64"/>
      </patternFill>
    </fill>
    <fill>
      <patternFill patternType="solid">
        <fgColor theme="0" tint="-4.9989318521683403E-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bottom/>
      <diagonal/>
    </border>
  </borders>
  <cellStyleXfs count="93">
    <xf numFmtId="0" fontId="0" fillId="0" borderId="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84" fillId="6" borderId="0" applyNumberFormat="0" applyBorder="0" applyAlignment="0" applyProtection="0"/>
    <xf numFmtId="0" fontId="85" fillId="17" borderId="2" applyNumberFormat="0" applyAlignment="0" applyProtection="0"/>
    <xf numFmtId="0" fontId="86" fillId="0" borderId="3" applyNumberFormat="0" applyFill="0" applyAlignment="0" applyProtection="0"/>
    <xf numFmtId="176" fontId="4" fillId="0" borderId="0" applyFont="0" applyFill="0" applyBorder="0" applyAlignment="0" applyProtection="0"/>
    <xf numFmtId="176" fontId="4"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1" fillId="0" borderId="0" applyNumberFormat="0" applyFill="0" applyBorder="0" applyAlignment="0" applyProtection="0">
      <alignment vertical="top"/>
      <protection locked="0"/>
    </xf>
    <xf numFmtId="0" fontId="89" fillId="15" borderId="0" applyNumberFormat="0" applyBorder="0" applyAlignment="0" applyProtection="0"/>
    <xf numFmtId="0" fontId="90" fillId="7" borderId="0" applyNumberFormat="0" applyBorder="0" applyAlignment="0" applyProtection="0"/>
    <xf numFmtId="0" fontId="134" fillId="0" borderId="0"/>
    <xf numFmtId="0" fontId="134" fillId="0" borderId="0"/>
    <xf numFmtId="0" fontId="4" fillId="0" borderId="0"/>
    <xf numFmtId="0" fontId="134"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1" fillId="16" borderId="8" applyNumberFormat="0" applyAlignment="0" applyProtection="0"/>
    <xf numFmtId="0" fontId="86" fillId="0" borderId="0" applyNumberFormat="0" applyFill="0" applyBorder="0" applyAlignment="0" applyProtection="0"/>
    <xf numFmtId="0" fontId="92" fillId="0" borderId="9" applyNumberFormat="0" applyFill="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10" fillId="4" borderId="7" applyNumberFormat="0" applyFont="0" applyAlignment="0" applyProtection="0">
      <alignment vertical="center"/>
    </xf>
    <xf numFmtId="0" fontId="4"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xf numFmtId="0" fontId="2" fillId="0" borderId="0"/>
    <xf numFmtId="0" fontId="2" fillId="33" borderId="34" applyNumberFormat="0" applyFont="0" applyAlignment="0" applyProtection="0"/>
    <xf numFmtId="0" fontId="167" fillId="0" borderId="35" applyNumberFormat="0" applyFill="0" applyAlignment="0" applyProtection="0"/>
    <xf numFmtId="0" fontId="1" fillId="0" borderId="0"/>
  </cellStyleXfs>
  <cellXfs count="923">
    <xf numFmtId="0" fontId="0" fillId="0" borderId="0" xfId="0"/>
    <xf numFmtId="0" fontId="5" fillId="0" borderId="0" xfId="0" applyFont="1" applyAlignment="1">
      <alignment horizontal="left" vertical="center" wrapText="1"/>
    </xf>
    <xf numFmtId="0" fontId="148"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vertical="center" wrapText="1"/>
    </xf>
    <xf numFmtId="0" fontId="5" fillId="26" borderId="25" xfId="0" applyFont="1" applyFill="1" applyBorder="1" applyAlignment="1">
      <alignment vertical="center"/>
    </xf>
    <xf numFmtId="0" fontId="5" fillId="26" borderId="17" xfId="0" applyFont="1" applyFill="1" applyBorder="1" applyAlignment="1">
      <alignment vertical="center"/>
    </xf>
    <xf numFmtId="0" fontId="5" fillId="26" borderId="0" xfId="0" applyFont="1" applyFill="1" applyAlignment="1">
      <alignment vertical="center"/>
    </xf>
    <xf numFmtId="0" fontId="5" fillId="0" borderId="25" xfId="0" applyFont="1" applyBorder="1" applyAlignment="1">
      <alignment horizontal="right" vertical="center"/>
    </xf>
    <xf numFmtId="0" fontId="11" fillId="0" borderId="0" xfId="50" applyFill="1" applyBorder="1" applyAlignment="1" applyProtection="1">
      <alignment horizontal="left" vertical="center" wrapText="1"/>
      <protection locked="0"/>
    </xf>
    <xf numFmtId="0" fontId="6" fillId="0" borderId="0" xfId="0" applyFont="1" applyAlignment="1">
      <alignment horizontal="right" vertical="center"/>
    </xf>
    <xf numFmtId="0" fontId="5" fillId="0" borderId="13" xfId="0" applyFont="1" applyBorder="1" applyAlignment="1" applyProtection="1">
      <alignment vertical="center"/>
      <protection locked="0"/>
    </xf>
    <xf numFmtId="0" fontId="128" fillId="0" borderId="0" xfId="0" applyFont="1" applyAlignment="1">
      <alignment horizontal="center" vertical="center" textRotation="90"/>
    </xf>
    <xf numFmtId="0" fontId="12" fillId="0" borderId="11" xfId="0" applyFont="1" applyBorder="1" applyAlignment="1">
      <alignment vertical="center"/>
    </xf>
    <xf numFmtId="0" fontId="12" fillId="0" borderId="0" xfId="0" applyFont="1" applyAlignment="1">
      <alignment vertical="center"/>
    </xf>
    <xf numFmtId="0" fontId="6" fillId="0" borderId="0" xfId="0" applyFont="1" applyAlignment="1">
      <alignment horizontal="center" vertical="center" wrapText="1"/>
    </xf>
    <xf numFmtId="0" fontId="5" fillId="0" borderId="0" xfId="0" applyFont="1" applyAlignment="1">
      <alignment vertical="center"/>
    </xf>
    <xf numFmtId="0" fontId="4" fillId="0" borderId="0" xfId="0" applyFont="1" applyAlignment="1">
      <alignment vertical="center"/>
    </xf>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29" fillId="0" borderId="12" xfId="0" applyFont="1" applyBorder="1"/>
    <xf numFmtId="0" fontId="5" fillId="0" borderId="0" xfId="0" applyFont="1" applyAlignment="1">
      <alignment horizontal="left"/>
    </xf>
    <xf numFmtId="0" fontId="5" fillId="0" borderId="0" xfId="0" applyFont="1"/>
    <xf numFmtId="0" fontId="33" fillId="0" borderId="0" xfId="0" applyFont="1" applyAlignment="1">
      <alignment horizontal="left"/>
    </xf>
    <xf numFmtId="0" fontId="29" fillId="0" borderId="0" xfId="0" applyFont="1"/>
    <xf numFmtId="0" fontId="23" fillId="0" borderId="0" xfId="0" applyFont="1" applyAlignment="1">
      <alignment horizontal="center"/>
    </xf>
    <xf numFmtId="0" fontId="23" fillId="0" borderId="0" xfId="0" applyFont="1"/>
    <xf numFmtId="0" fontId="25" fillId="0" borderId="10" xfId="0" applyFont="1" applyBorder="1" applyAlignment="1">
      <alignment horizontal="right" vertical="center"/>
    </xf>
    <xf numFmtId="49" fontId="25" fillId="0" borderId="13" xfId="0" applyNumberFormat="1" applyFont="1" applyBorder="1" applyAlignment="1">
      <alignment horizontal="right"/>
    </xf>
    <xf numFmtId="0" fontId="25" fillId="0" borderId="0" xfId="0" applyFont="1" applyAlignment="1">
      <alignment horizontal="right" vertical="center"/>
    </xf>
    <xf numFmtId="0" fontId="25" fillId="0" borderId="10" xfId="0" applyFont="1" applyBorder="1" applyAlignment="1">
      <alignment horizontal="right"/>
    </xf>
    <xf numFmtId="0" fontId="25" fillId="0" borderId="0" xfId="0" applyFont="1" applyAlignment="1">
      <alignment horizontal="right"/>
    </xf>
    <xf numFmtId="0" fontId="25" fillId="0" borderId="0" xfId="0" applyFont="1"/>
    <xf numFmtId="0" fontId="25" fillId="0" borderId="14" xfId="0" applyFont="1" applyBorder="1" applyAlignment="1">
      <alignment horizontal="right" vertical="center"/>
    </xf>
    <xf numFmtId="0" fontId="26" fillId="0" borderId="0" xfId="0" applyFont="1"/>
    <xf numFmtId="0" fontId="26" fillId="0" borderId="0" xfId="0" applyFont="1" applyAlignment="1">
      <alignment horizontal="center"/>
    </xf>
    <xf numFmtId="0" fontId="26" fillId="0" borderId="12" xfId="0" applyFont="1" applyBorder="1" applyAlignment="1">
      <alignment horizontal="center"/>
    </xf>
    <xf numFmtId="0" fontId="26" fillId="0" borderId="10" xfId="0" applyFont="1" applyBorder="1" applyAlignment="1">
      <alignment horizontal="center"/>
    </xf>
    <xf numFmtId="0" fontId="25" fillId="0" borderId="14" xfId="0" applyFont="1" applyBorder="1" applyAlignment="1">
      <alignment vertical="center"/>
    </xf>
    <xf numFmtId="0" fontId="25" fillId="0" borderId="0" xfId="0" applyFont="1" applyAlignment="1">
      <alignment vertical="center"/>
    </xf>
    <xf numFmtId="1" fontId="23" fillId="0" borderId="0" xfId="0" applyNumberFormat="1" applyFont="1"/>
    <xf numFmtId="2" fontId="23" fillId="0" borderId="0" xfId="0" applyNumberFormat="1" applyFont="1"/>
    <xf numFmtId="49" fontId="23" fillId="0" borderId="0" xfId="0" applyNumberFormat="1" applyFont="1"/>
    <xf numFmtId="2" fontId="23" fillId="0" borderId="0" xfId="0" applyNumberFormat="1" applyFont="1" applyAlignment="1">
      <alignment horizontal="center"/>
    </xf>
    <xf numFmtId="0" fontId="23" fillId="0" borderId="0" xfId="0" applyFont="1" applyAlignment="1">
      <alignment horizontal="right"/>
    </xf>
    <xf numFmtId="0" fontId="4" fillId="0" borderId="0" xfId="0" applyFont="1"/>
    <xf numFmtId="0" fontId="35" fillId="0" borderId="0" xfId="0" applyFont="1" applyAlignment="1">
      <alignment horizontal="center" vertical="center" wrapText="1"/>
    </xf>
    <xf numFmtId="1" fontId="23" fillId="0" borderId="0" xfId="0" applyNumberFormat="1" applyFont="1" applyAlignment="1">
      <alignment horizontal="center"/>
    </xf>
    <xf numFmtId="0" fontId="24" fillId="0" borderId="13" xfId="0" applyFont="1" applyBorder="1"/>
    <xf numFmtId="0" fontId="23" fillId="0" borderId="0" xfId="0" applyFont="1" applyProtection="1">
      <protection locked="0"/>
    </xf>
    <xf numFmtId="0" fontId="23" fillId="0" borderId="0" xfId="0" quotePrefix="1" applyFont="1" applyProtection="1">
      <protection locked="0"/>
    </xf>
    <xf numFmtId="0" fontId="25" fillId="0" borderId="12" xfId="0" applyFont="1" applyBorder="1"/>
    <xf numFmtId="0" fontId="21"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left"/>
    </xf>
    <xf numFmtId="0" fontId="32" fillId="0" borderId="0" xfId="0" applyFont="1"/>
    <xf numFmtId="49" fontId="12" fillId="0" borderId="0" xfId="0" applyNumberFormat="1" applyFont="1"/>
    <xf numFmtId="49" fontId="12" fillId="0" borderId="0" xfId="0" applyNumberFormat="1" applyFont="1" applyAlignment="1">
      <alignment horizontal="left" vertical="center"/>
    </xf>
    <xf numFmtId="0" fontId="28" fillId="0" borderId="0" xfId="0" applyFont="1"/>
    <xf numFmtId="0" fontId="12" fillId="0" borderId="0" xfId="0" applyFont="1"/>
    <xf numFmtId="0" fontId="28" fillId="0" borderId="0" xfId="0" applyFont="1" applyAlignment="1">
      <alignment horizontal="left" vertical="center"/>
    </xf>
    <xf numFmtId="0" fontId="12" fillId="0" borderId="0" xfId="0" applyFont="1" applyAlignment="1">
      <alignment horizontal="left" vertical="center"/>
    </xf>
    <xf numFmtId="0" fontId="33" fillId="0" borderId="0" xfId="0" applyFont="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xf>
    <xf numFmtId="49" fontId="5" fillId="0" borderId="0" xfId="0" applyNumberFormat="1" applyFont="1" applyAlignment="1">
      <alignment horizontal="left"/>
    </xf>
    <xf numFmtId="0" fontId="29" fillId="0" borderId="0" xfId="0" applyFont="1" applyAlignment="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5" fillId="0" borderId="0" xfId="0" applyFont="1" applyAlignment="1" applyProtection="1">
      <alignment horizontal="center"/>
      <protection locked="0"/>
    </xf>
    <xf numFmtId="0" fontId="36"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5" fillId="0" borderId="0" xfId="0" applyFont="1" applyProtection="1">
      <protection locked="0"/>
    </xf>
    <xf numFmtId="0" fontId="10" fillId="0" borderId="0" xfId="0" quotePrefix="1" applyFont="1" applyAlignment="1" applyProtection="1">
      <alignment horizontal="left"/>
      <protection locked="0"/>
    </xf>
    <xf numFmtId="0" fontId="36" fillId="0" borderId="0" xfId="0" quotePrefix="1" applyFont="1" applyAlignment="1" applyProtection="1">
      <alignment horizontal="left"/>
      <protection locked="0"/>
    </xf>
    <xf numFmtId="0" fontId="37" fillId="0" borderId="0" xfId="0" applyFont="1" applyAlignment="1" applyProtection="1">
      <alignment horizontal="center"/>
      <protection locked="0"/>
    </xf>
    <xf numFmtId="0" fontId="36" fillId="0" borderId="0" xfId="0" applyFont="1" applyAlignment="1" applyProtection="1">
      <alignment horizontal="left"/>
      <protection locked="0"/>
    </xf>
    <xf numFmtId="0" fontId="36" fillId="0" borderId="0" xfId="0" applyFont="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2" fillId="0" borderId="0" xfId="0" applyFont="1" applyAlignment="1" applyProtection="1">
      <alignment horizontal="center"/>
      <protection locked="0"/>
    </xf>
    <xf numFmtId="0" fontId="10" fillId="0" borderId="0" xfId="0" applyFont="1" applyAlignment="1">
      <alignment horizontal="left"/>
    </xf>
    <xf numFmtId="0" fontId="35"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178" fontId="17" fillId="0" borderId="0" xfId="0" applyNumberFormat="1" applyFont="1" applyAlignment="1">
      <alignment horizontal="left" vertical="center" wrapText="1"/>
    </xf>
    <xf numFmtId="0" fontId="44" fillId="0" borderId="0" xfId="0" applyFont="1"/>
    <xf numFmtId="0" fontId="45" fillId="0" borderId="0" xfId="0" applyFont="1"/>
    <xf numFmtId="0" fontId="11" fillId="0" borderId="0" xfId="50" applyAlignment="1" applyProtection="1"/>
    <xf numFmtId="49" fontId="49" fillId="0" borderId="0" xfId="0" applyNumberFormat="1" applyFont="1" applyAlignment="1">
      <alignment horizontal="left"/>
    </xf>
    <xf numFmtId="0" fontId="48" fillId="0" borderId="0" xfId="0" applyFont="1" applyAlignment="1">
      <alignment vertical="center"/>
    </xf>
    <xf numFmtId="49" fontId="55" fillId="0" borderId="0" xfId="0" applyNumberFormat="1" applyFont="1"/>
    <xf numFmtId="0" fontId="54" fillId="0" borderId="0" xfId="0" applyFont="1"/>
    <xf numFmtId="0" fontId="48" fillId="0" borderId="0" xfId="0" applyFont="1"/>
    <xf numFmtId="0" fontId="48" fillId="0" borderId="0" xfId="0" applyFont="1" applyAlignment="1">
      <alignment horizontal="left" vertical="center"/>
    </xf>
    <xf numFmtId="0" fontId="55" fillId="0" borderId="0" xfId="0" applyFont="1"/>
    <xf numFmtId="0" fontId="48" fillId="0" borderId="0" xfId="0" applyFont="1" applyAlignment="1">
      <alignment horizontal="left"/>
    </xf>
    <xf numFmtId="0" fontId="52" fillId="0" borderId="0" xfId="0" applyFont="1" applyAlignment="1">
      <alignment horizontal="left"/>
    </xf>
    <xf numFmtId="0" fontId="6" fillId="0" borderId="11" xfId="0" applyFont="1" applyBorder="1" applyAlignment="1">
      <alignment vertical="center" wrapText="1"/>
    </xf>
    <xf numFmtId="0" fontId="6" fillId="0" borderId="0" xfId="0" applyFont="1" applyAlignment="1">
      <alignment vertical="center"/>
    </xf>
    <xf numFmtId="0" fontId="56" fillId="0" borderId="0" xfId="0" applyFont="1" applyAlignment="1">
      <alignment vertical="center" wrapText="1"/>
    </xf>
    <xf numFmtId="0" fontId="56"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10" fillId="0" borderId="0" xfId="0" applyFont="1" applyAlignment="1">
      <alignment vertical="center"/>
    </xf>
    <xf numFmtId="0" fontId="6" fillId="0" borderId="10" xfId="0" applyFont="1" applyBorder="1" applyAlignment="1">
      <alignment horizontal="center" vertical="center"/>
    </xf>
    <xf numFmtId="0" fontId="5" fillId="0" borderId="0" xfId="0" applyFont="1" applyAlignment="1" applyProtection="1">
      <alignment vertical="center"/>
      <protection locked="0"/>
    </xf>
    <xf numFmtId="0" fontId="1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19" borderId="0" xfId="0" applyFont="1" applyFill="1" applyAlignment="1">
      <alignment vertical="center"/>
    </xf>
    <xf numFmtId="0" fontId="6" fillId="19" borderId="15" xfId="0" applyFont="1" applyFill="1" applyBorder="1" applyAlignment="1">
      <alignment vertical="center"/>
    </xf>
    <xf numFmtId="2" fontId="5" fillId="19" borderId="11" xfId="0" applyNumberFormat="1" applyFont="1" applyFill="1" applyBorder="1" applyAlignment="1">
      <alignment vertical="center"/>
    </xf>
    <xf numFmtId="0" fontId="39" fillId="0" borderId="0" xfId="0" applyFont="1" applyAlignment="1">
      <alignment vertical="center"/>
    </xf>
    <xf numFmtId="2" fontId="5" fillId="18" borderId="13" xfId="0" applyNumberFormat="1" applyFont="1" applyFill="1" applyBorder="1" applyAlignment="1">
      <alignment vertical="center"/>
    </xf>
    <xf numFmtId="0" fontId="5" fillId="19" borderId="16" xfId="0" applyFont="1" applyFill="1" applyBorder="1" applyAlignment="1">
      <alignment vertical="center"/>
    </xf>
    <xf numFmtId="0" fontId="6" fillId="0" borderId="13"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0" fontId="10" fillId="0" borderId="0" xfId="0" applyFont="1" applyAlignment="1">
      <alignment wrapText="1"/>
    </xf>
    <xf numFmtId="0" fontId="59" fillId="0" borderId="0" xfId="0" applyFont="1"/>
    <xf numFmtId="0" fontId="17" fillId="0" borderId="0" xfId="0" applyFont="1" applyAlignment="1">
      <alignment vertical="center" wrapText="1"/>
    </xf>
    <xf numFmtId="0" fontId="49" fillId="0" borderId="0" xfId="0" applyFont="1"/>
    <xf numFmtId="0" fontId="46" fillId="0" borderId="0" xfId="0" applyFont="1" applyAlignment="1">
      <alignment vertical="center"/>
    </xf>
    <xf numFmtId="0" fontId="5" fillId="0" borderId="0" xfId="0" applyFont="1" applyAlignment="1" applyProtection="1">
      <alignment horizontal="left"/>
      <protection locked="0"/>
    </xf>
    <xf numFmtId="0" fontId="64" fillId="0" borderId="0" xfId="0" applyFont="1"/>
    <xf numFmtId="20" fontId="10" fillId="0" borderId="0" xfId="0" applyNumberFormat="1" applyFont="1" applyAlignment="1" applyProtection="1">
      <alignment horizontal="left"/>
      <protection locked="0"/>
    </xf>
    <xf numFmtId="0" fontId="64" fillId="0" borderId="0" xfId="0" applyFont="1" applyProtection="1">
      <protection locked="0"/>
    </xf>
    <xf numFmtId="0" fontId="30" fillId="0" borderId="0" xfId="0" applyFont="1"/>
    <xf numFmtId="0" fontId="30" fillId="0" borderId="0" xfId="0" applyFont="1" applyAlignment="1">
      <alignment horizontal="left"/>
    </xf>
    <xf numFmtId="49" fontId="48" fillId="0" borderId="0" xfId="0" applyNumberFormat="1" applyFont="1" applyAlignment="1">
      <alignment horizontal="left"/>
    </xf>
    <xf numFmtId="49" fontId="64" fillId="0" borderId="0" xfId="0" applyNumberFormat="1" applyFont="1" applyAlignment="1">
      <alignment horizontal="left"/>
    </xf>
    <xf numFmtId="0" fontId="64" fillId="0" borderId="0" xfId="0" applyFont="1" applyAlignment="1">
      <alignment horizontal="left" vertical="center"/>
    </xf>
    <xf numFmtId="0" fontId="65" fillId="0" borderId="0" xfId="0" applyFont="1"/>
    <xf numFmtId="49" fontId="65" fillId="0" borderId="0" xfId="0" applyNumberFormat="1" applyFont="1" applyAlignment="1">
      <alignment horizontal="left"/>
    </xf>
    <xf numFmtId="0" fontId="66" fillId="0" borderId="0" xfId="0" applyFont="1"/>
    <xf numFmtId="0" fontId="12" fillId="0" borderId="0" xfId="0" applyFont="1" applyAlignment="1">
      <alignment horizontal="left"/>
    </xf>
    <xf numFmtId="0" fontId="5"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5" fillId="0" borderId="0" xfId="0" applyFont="1" applyProtection="1">
      <protection locked="0"/>
    </xf>
    <xf numFmtId="0" fontId="12" fillId="0" borderId="0" xfId="0" applyFont="1" applyProtection="1">
      <protection locked="0"/>
    </xf>
    <xf numFmtId="0" fontId="8" fillId="0" borderId="0" xfId="0" applyFont="1" applyAlignment="1">
      <alignment horizontal="left" vertical="center"/>
    </xf>
    <xf numFmtId="0" fontId="17" fillId="0" borderId="0" xfId="0" applyFont="1"/>
    <xf numFmtId="0" fontId="47" fillId="0" borderId="0" xfId="0" applyFont="1"/>
    <xf numFmtId="0" fontId="14" fillId="0" borderId="0" xfId="0" applyFont="1"/>
    <xf numFmtId="0" fontId="19" fillId="0" borderId="0" xfId="0" applyFont="1"/>
    <xf numFmtId="0" fontId="14" fillId="0" borderId="0" xfId="0" applyFont="1" applyAlignment="1">
      <alignment horizontal="left" vertical="center"/>
    </xf>
    <xf numFmtId="0" fontId="14" fillId="0" borderId="0" xfId="0" applyFont="1" applyProtection="1">
      <protection locked="0"/>
    </xf>
    <xf numFmtId="0" fontId="28" fillId="0" borderId="0" xfId="0" applyFont="1" applyProtection="1">
      <protection locked="0"/>
    </xf>
    <xf numFmtId="0" fontId="53" fillId="0" borderId="0" xfId="0" applyFont="1"/>
    <xf numFmtId="49" fontId="12" fillId="0" borderId="0" xfId="0" applyNumberFormat="1" applyFont="1" applyProtection="1">
      <protection locked="0"/>
    </xf>
    <xf numFmtId="0" fontId="40" fillId="0" borderId="0" xfId="0" applyFont="1"/>
    <xf numFmtId="0" fontId="64" fillId="0" borderId="0" xfId="0" applyFont="1" applyAlignment="1">
      <alignment horizontal="left"/>
    </xf>
    <xf numFmtId="0" fontId="8" fillId="0" borderId="0" xfId="0" applyFont="1" applyAlignment="1">
      <alignment horizontal="left"/>
    </xf>
    <xf numFmtId="0" fontId="67" fillId="0" borderId="0" xfId="0" applyFont="1"/>
    <xf numFmtId="0" fontId="68" fillId="0" borderId="0" xfId="0" applyFont="1"/>
    <xf numFmtId="0" fontId="55" fillId="0" borderId="0" xfId="0" applyFont="1" applyAlignment="1">
      <alignment horizontal="left"/>
    </xf>
    <xf numFmtId="0" fontId="41" fillId="0" borderId="0" xfId="0" applyFont="1"/>
    <xf numFmtId="0" fontId="29" fillId="0" borderId="0" xfId="0" applyFont="1" applyProtection="1">
      <protection locked="0"/>
    </xf>
    <xf numFmtId="0" fontId="21" fillId="0" borderId="0" xfId="0" applyFont="1"/>
    <xf numFmtId="0" fontId="21" fillId="0" borderId="0" xfId="0" applyFont="1" applyAlignment="1">
      <alignment horizontal="left" vertical="center"/>
    </xf>
    <xf numFmtId="0" fontId="10" fillId="0" borderId="0" xfId="0" applyFont="1" applyAlignment="1" applyProtection="1">
      <alignment horizontal="left" vertical="center"/>
      <protection locked="0"/>
    </xf>
    <xf numFmtId="0" fontId="10" fillId="0" borderId="11" xfId="0" applyFont="1" applyBorder="1"/>
    <xf numFmtId="0" fontId="10" fillId="0" borderId="17" xfId="0" applyFont="1" applyBorder="1"/>
    <xf numFmtId="0" fontId="21" fillId="0" borderId="0" xfId="0" applyFont="1" applyAlignment="1" applyProtection="1">
      <alignment horizontal="left"/>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quotePrefix="1"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46" fillId="0" borderId="11" xfId="0" applyFont="1" applyBorder="1" applyAlignment="1">
      <alignment horizontal="right" vertical="center"/>
    </xf>
    <xf numFmtId="0" fontId="9" fillId="0" borderId="0" xfId="0" applyFont="1" applyAlignment="1">
      <alignment vertical="center" wrapText="1"/>
    </xf>
    <xf numFmtId="2" fontId="5" fillId="0" borderId="13" xfId="0" applyNumberFormat="1" applyFont="1" applyBorder="1" applyAlignment="1" applyProtection="1">
      <alignment horizontal="left" vertical="center"/>
      <protection locked="0"/>
    </xf>
    <xf numFmtId="2"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vertical="center"/>
      <protection locked="0"/>
    </xf>
    <xf numFmtId="0" fontId="5" fillId="0" borderId="19" xfId="0" applyFont="1" applyBorder="1" applyAlignment="1">
      <alignment vertical="center"/>
    </xf>
    <xf numFmtId="0" fontId="5" fillId="0" borderId="13" xfId="0" applyFont="1" applyBorder="1" applyAlignment="1" applyProtection="1">
      <alignment horizontal="center" vertical="center"/>
      <protection locked="0"/>
    </xf>
    <xf numFmtId="1" fontId="5" fillId="0" borderId="13" xfId="0" applyNumberFormat="1" applyFont="1" applyBorder="1" applyAlignment="1" applyProtection="1">
      <alignment horizontal="center" vertical="center"/>
      <protection locked="0"/>
    </xf>
    <xf numFmtId="0" fontId="64" fillId="0" borderId="0" xfId="0" applyFont="1" applyAlignment="1">
      <alignment horizontal="left" vertical="center" wrapText="1"/>
    </xf>
    <xf numFmtId="0" fontId="72" fillId="0" borderId="0" xfId="0" applyFont="1" applyAlignment="1">
      <alignment horizontal="left" indent="12"/>
    </xf>
    <xf numFmtId="0" fontId="9" fillId="0" borderId="0" xfId="0" applyFont="1" applyAlignment="1">
      <alignment horizontal="center"/>
    </xf>
    <xf numFmtId="0" fontId="46" fillId="0" borderId="0" xfId="0" applyFont="1" applyAlignment="1">
      <alignment horizontal="center" vertical="center"/>
    </xf>
    <xf numFmtId="0" fontId="35" fillId="0" borderId="0" xfId="0" applyFont="1" applyAlignment="1">
      <alignment vertical="center"/>
    </xf>
    <xf numFmtId="0" fontId="73" fillId="0" borderId="0" xfId="0" applyFont="1"/>
    <xf numFmtId="0" fontId="38" fillId="0" borderId="0" xfId="50" applyFont="1" applyAlignment="1" applyProtection="1">
      <protection locked="0"/>
    </xf>
    <xf numFmtId="0" fontId="38" fillId="0" borderId="0" xfId="50" applyFont="1" applyBorder="1" applyAlignment="1" applyProtection="1">
      <alignment vertical="center"/>
      <protection locked="0"/>
    </xf>
    <xf numFmtId="0" fontId="5" fillId="0" borderId="11" xfId="0" applyFont="1" applyBorder="1" applyAlignment="1" applyProtection="1">
      <alignment vertical="center"/>
      <protection locked="0"/>
    </xf>
    <xf numFmtId="49" fontId="5" fillId="0" borderId="0" xfId="0" applyNumberFormat="1" applyFont="1" applyProtection="1">
      <protection locked="0"/>
    </xf>
    <xf numFmtId="0" fontId="9" fillId="0" borderId="0" xfId="0" applyFont="1" applyAlignment="1">
      <alignment vertical="center"/>
    </xf>
    <xf numFmtId="0" fontId="46" fillId="0" borderId="11" xfId="0" applyFont="1" applyBorder="1" applyAlignment="1">
      <alignment horizontal="left" vertical="center" wrapText="1"/>
    </xf>
    <xf numFmtId="0" fontId="9" fillId="0" borderId="0" xfId="0" applyFont="1" applyAlignment="1" applyProtection="1">
      <alignment horizontal="center" vertical="center" wrapText="1"/>
      <protection locked="0"/>
    </xf>
    <xf numFmtId="49" fontId="6" fillId="0" borderId="0" xfId="0" applyNumberFormat="1" applyFont="1" applyAlignment="1">
      <alignment horizontal="center"/>
    </xf>
    <xf numFmtId="49" fontId="5" fillId="0" borderId="0" xfId="0" applyNumberFormat="1" applyFont="1" applyAlignment="1">
      <alignment horizontal="center"/>
    </xf>
    <xf numFmtId="0" fontId="75" fillId="0" borderId="0" xfId="0" applyFont="1"/>
    <xf numFmtId="49" fontId="5" fillId="0" borderId="0" xfId="0" applyNumberFormat="1" applyFont="1"/>
    <xf numFmtId="49" fontId="5" fillId="0" borderId="0" xfId="0" quotePrefix="1" applyNumberFormat="1" applyFon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5" fillId="0" borderId="0" xfId="0" quotePrefix="1" applyNumberFormat="1" applyFont="1"/>
    <xf numFmtId="2" fontId="23" fillId="0" borderId="0" xfId="0" applyNumberFormat="1" applyFont="1" applyProtection="1">
      <protection locked="0"/>
    </xf>
    <xf numFmtId="0" fontId="36" fillId="0" borderId="0" xfId="0" applyFont="1"/>
    <xf numFmtId="0" fontId="13" fillId="0" borderId="0" xfId="0" applyFont="1" applyAlignment="1">
      <alignment horizontal="left"/>
    </xf>
    <xf numFmtId="0" fontId="36" fillId="0" borderId="0" xfId="0" applyFont="1" applyAlignment="1">
      <alignment horizontal="left"/>
    </xf>
    <xf numFmtId="0" fontId="62" fillId="0" borderId="0" xfId="0" applyFont="1" applyAlignment="1">
      <alignment vertical="center" wrapText="1"/>
    </xf>
    <xf numFmtId="0" fontId="39"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Alignment="1">
      <alignment horizontal="center"/>
    </xf>
    <xf numFmtId="2" fontId="10" fillId="19" borderId="0" xfId="0" applyNumberFormat="1" applyFont="1" applyFill="1" applyAlignment="1">
      <alignment horizontal="center"/>
    </xf>
    <xf numFmtId="0" fontId="9" fillId="19" borderId="0" xfId="0" applyFont="1" applyFill="1" applyAlignment="1">
      <alignment horizontal="center"/>
    </xf>
    <xf numFmtId="0" fontId="43" fillId="19" borderId="0" xfId="0" applyFont="1" applyFill="1" applyAlignment="1">
      <alignment horizontal="center"/>
    </xf>
    <xf numFmtId="0" fontId="10" fillId="19" borderId="0" xfId="0" applyFont="1" applyFill="1" applyAlignment="1">
      <alignment horizontal="center"/>
    </xf>
    <xf numFmtId="0" fontId="35" fillId="19" borderId="0" xfId="0" applyFont="1" applyFill="1" applyAlignment="1">
      <alignment horizontal="center"/>
    </xf>
    <xf numFmtId="0" fontId="0" fillId="19" borderId="0" xfId="0" quotePrefix="1" applyFill="1" applyAlignment="1">
      <alignment horizontal="center"/>
    </xf>
    <xf numFmtId="2" fontId="9" fillId="19" borderId="0" xfId="0" applyNumberFormat="1" applyFont="1" applyFill="1" applyAlignment="1">
      <alignment horizontal="center"/>
    </xf>
    <xf numFmtId="2" fontId="0" fillId="19" borderId="0" xfId="0" applyNumberFormat="1" applyFill="1" applyAlignment="1">
      <alignment horizontal="center"/>
    </xf>
    <xf numFmtId="0" fontId="9" fillId="19" borderId="13" xfId="0" applyFont="1" applyFill="1" applyBorder="1" applyAlignment="1">
      <alignment horizontal="center"/>
    </xf>
    <xf numFmtId="2" fontId="43" fillId="19" borderId="0" xfId="0" applyNumberFormat="1" applyFont="1" applyFill="1" applyAlignment="1">
      <alignment horizontal="center"/>
    </xf>
    <xf numFmtId="0" fontId="0" fillId="19" borderId="13" xfId="0" applyFill="1" applyBorder="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8" fillId="18" borderId="21" xfId="0" applyFont="1" applyFill="1" applyBorder="1" applyAlignment="1">
      <alignment horizontal="center"/>
    </xf>
    <xf numFmtId="2" fontId="4" fillId="19" borderId="13" xfId="0" applyNumberFormat="1" applyFont="1" applyFill="1" applyBorder="1" applyAlignment="1">
      <alignment horizontal="center"/>
    </xf>
    <xf numFmtId="0" fontId="61" fillId="19" borderId="0" xfId="0" applyFont="1" applyFill="1" applyAlignment="1">
      <alignment horizontal="center"/>
    </xf>
    <xf numFmtId="0" fontId="43"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Alignment="1">
      <alignment horizontal="left"/>
    </xf>
    <xf numFmtId="2" fontId="3" fillId="19" borderId="13" xfId="0" applyNumberFormat="1" applyFont="1" applyFill="1" applyBorder="1" applyAlignment="1">
      <alignment horizontal="center"/>
    </xf>
    <xf numFmtId="0" fontId="43"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Alignment="1">
      <alignment horizontal="left"/>
    </xf>
    <xf numFmtId="1" fontId="10" fillId="19" borderId="0" xfId="0" applyNumberFormat="1" applyFont="1" applyFill="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5" fillId="19" borderId="0" xfId="0" applyNumberFormat="1" applyFont="1" applyFill="1" applyAlignment="1">
      <alignment horizontal="center"/>
    </xf>
    <xf numFmtId="2" fontId="10" fillId="19" borderId="13" xfId="0" applyNumberFormat="1" applyFont="1" applyFill="1" applyBorder="1" applyAlignment="1">
      <alignment horizontal="center" vertical="center" shrinkToFit="1"/>
    </xf>
    <xf numFmtId="0" fontId="43" fillId="20" borderId="20" xfId="0" applyFont="1" applyFill="1" applyBorder="1" applyAlignment="1">
      <alignment horizontal="center"/>
    </xf>
    <xf numFmtId="2" fontId="9" fillId="18" borderId="22" xfId="0" applyNumberFormat="1" applyFont="1" applyFill="1" applyBorder="1" applyAlignment="1">
      <alignment horizontal="center"/>
    </xf>
    <xf numFmtId="0" fontId="43" fillId="20" borderId="23" xfId="0" applyFont="1" applyFill="1" applyBorder="1" applyAlignment="1">
      <alignment horizontal="center"/>
    </xf>
    <xf numFmtId="1" fontId="9" fillId="19" borderId="0" xfId="0" applyNumberFormat="1" applyFont="1" applyFill="1" applyAlignment="1">
      <alignment horizontal="center"/>
    </xf>
    <xf numFmtId="1" fontId="9" fillId="19" borderId="0" xfId="0" applyNumberFormat="1" applyFont="1" applyFill="1" applyAlignment="1">
      <alignment horizontal="left"/>
    </xf>
    <xf numFmtId="0" fontId="9" fillId="19" borderId="0" xfId="0" applyFont="1" applyFill="1" applyAlignment="1">
      <alignment horizontal="left"/>
    </xf>
    <xf numFmtId="10" fontId="35" fillId="19" borderId="0" xfId="0" applyNumberFormat="1" applyFont="1" applyFill="1" applyAlignment="1">
      <alignment horizontal="center"/>
    </xf>
    <xf numFmtId="0" fontId="3" fillId="19" borderId="13" xfId="0" applyFont="1" applyFill="1" applyBorder="1" applyAlignment="1">
      <alignment horizontal="center"/>
    </xf>
    <xf numFmtId="0" fontId="36" fillId="19" borderId="0" xfId="0" applyFont="1" applyFill="1" applyAlignment="1">
      <alignment horizontal="center"/>
    </xf>
    <xf numFmtId="177" fontId="9" fillId="19" borderId="0" xfId="0" applyNumberFormat="1" applyFont="1" applyFill="1" applyAlignment="1">
      <alignment horizontal="center"/>
    </xf>
    <xf numFmtId="177" fontId="9"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3" fillId="20" borderId="13" xfId="0" applyNumberFormat="1" applyFont="1" applyFill="1" applyBorder="1" applyAlignment="1">
      <alignment horizontal="center"/>
    </xf>
    <xf numFmtId="2" fontId="43"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5" fillId="19" borderId="13" xfId="0" applyFont="1" applyFill="1" applyBorder="1" applyAlignment="1">
      <alignment horizontal="center"/>
    </xf>
    <xf numFmtId="0" fontId="35"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6" fillId="19" borderId="13" xfId="0" applyNumberFormat="1" applyFont="1" applyFill="1" applyBorder="1" applyAlignment="1">
      <alignment horizontal="center"/>
    </xf>
    <xf numFmtId="49" fontId="13" fillId="0" borderId="0" xfId="0" quotePrefix="1" applyNumberFormat="1" applyFont="1" applyAlignment="1">
      <alignment horizontal="center"/>
    </xf>
    <xf numFmtId="49" fontId="13" fillId="0" borderId="0" xfId="0" applyNumberFormat="1" applyFont="1"/>
    <xf numFmtId="49" fontId="13"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81" fontId="23"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57" applyFont="1"/>
    <xf numFmtId="0" fontId="114" fillId="0" borderId="0" xfId="57" applyFont="1" applyAlignment="1">
      <alignment vertical="center"/>
    </xf>
    <xf numFmtId="0" fontId="113" fillId="0" borderId="0" xfId="58" applyFont="1"/>
    <xf numFmtId="0" fontId="114" fillId="0" borderId="0" xfId="58" applyFont="1" applyAlignment="1">
      <alignment vertical="center"/>
    </xf>
    <xf numFmtId="0" fontId="115" fillId="0" borderId="0" xfId="60" applyFont="1"/>
    <xf numFmtId="0" fontId="113" fillId="0" borderId="0" xfId="60" applyFont="1"/>
    <xf numFmtId="0" fontId="48" fillId="0" borderId="0" xfId="60" applyFont="1" applyAlignment="1">
      <alignment vertical="center"/>
    </xf>
    <xf numFmtId="0" fontId="5" fillId="0" borderId="0" xfId="0" applyFont="1" applyAlignment="1">
      <alignment horizontal="center"/>
    </xf>
    <xf numFmtId="0" fontId="120" fillId="0" borderId="0" xfId="0" applyFont="1" applyAlignment="1">
      <alignment vertical="center"/>
    </xf>
    <xf numFmtId="0" fontId="4" fillId="0" borderId="0" xfId="0" applyFont="1" applyAlignment="1">
      <alignment horizontal="left"/>
    </xf>
    <xf numFmtId="0" fontId="4" fillId="0" borderId="0" xfId="0" applyFont="1" applyProtection="1">
      <protection locked="0"/>
    </xf>
    <xf numFmtId="0" fontId="4" fillId="0" borderId="0" xfId="0" applyFont="1" applyAlignment="1" applyProtection="1">
      <alignment horizontal="left"/>
      <protection locked="0"/>
    </xf>
    <xf numFmtId="49" fontId="5"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1" fillId="0" borderId="0" xfId="0" applyFont="1"/>
    <xf numFmtId="1" fontId="5"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4" fillId="0" borderId="0" xfId="0" applyFont="1" applyAlignment="1">
      <alignment horizontal="left" vertical="center"/>
    </xf>
    <xf numFmtId="0" fontId="135" fillId="0" borderId="0" xfId="0" applyFont="1"/>
    <xf numFmtId="0" fontId="4" fillId="0" borderId="0" xfId="60" applyFont="1"/>
    <xf numFmtId="0" fontId="9" fillId="0" borderId="0" xfId="0" applyFont="1" applyAlignment="1">
      <alignment horizontal="left" vertical="center"/>
    </xf>
    <xf numFmtId="49" fontId="4" fillId="0" borderId="0" xfId="0" applyNumberFormat="1" applyFont="1"/>
    <xf numFmtId="49" fontId="9" fillId="0" borderId="0" xfId="0" applyNumberFormat="1" applyFont="1"/>
    <xf numFmtId="0" fontId="125" fillId="23" borderId="0" xfId="0" applyFont="1" applyFill="1"/>
    <xf numFmtId="0" fontId="35" fillId="23" borderId="0" xfId="0" applyFont="1" applyFill="1"/>
    <xf numFmtId="0" fontId="126" fillId="23" borderId="0" xfId="0" applyFont="1" applyFill="1"/>
    <xf numFmtId="0" fontId="9" fillId="23" borderId="0" xfId="0" applyFont="1" applyFill="1"/>
    <xf numFmtId="0" fontId="4" fillId="23" borderId="0" xfId="0" applyFont="1" applyFill="1"/>
    <xf numFmtId="0" fontId="35" fillId="0" borderId="0" xfId="0" applyFont="1"/>
    <xf numFmtId="0" fontId="126" fillId="0" borderId="0" xfId="0" applyFont="1"/>
    <xf numFmtId="0" fontId="4" fillId="19" borderId="0" xfId="0" applyFont="1" applyFill="1"/>
    <xf numFmtId="0" fontId="35" fillId="19" borderId="0" xfId="0" applyFont="1" applyFill="1"/>
    <xf numFmtId="0" fontId="126" fillId="19" borderId="0" xfId="0" applyFont="1" applyFill="1"/>
    <xf numFmtId="0" fontId="9" fillId="19" borderId="0" xfId="0" applyFont="1" applyFill="1"/>
    <xf numFmtId="0" fontId="125" fillId="22" borderId="0" xfId="0" applyFont="1" applyFill="1"/>
    <xf numFmtId="0" fontId="35" fillId="22" borderId="0" xfId="0" applyFont="1" applyFill="1"/>
    <xf numFmtId="0" fontId="126" fillId="22" borderId="0" xfId="0" applyFont="1" applyFill="1"/>
    <xf numFmtId="0" fontId="9" fillId="22" borderId="0" xfId="0" applyFont="1" applyFill="1"/>
    <xf numFmtId="0" fontId="4" fillId="22" borderId="0" xfId="0" applyFont="1" applyFill="1"/>
    <xf numFmtId="0" fontId="125" fillId="24" borderId="0" xfId="0" applyFont="1" applyFill="1"/>
    <xf numFmtId="0" fontId="36" fillId="24" borderId="0" xfId="0" applyFont="1" applyFill="1"/>
    <xf numFmtId="0" fontId="126" fillId="24" borderId="0" xfId="0" applyFont="1" applyFill="1"/>
    <xf numFmtId="0" fontId="4" fillId="24" borderId="0" xfId="0" applyFont="1" applyFill="1"/>
    <xf numFmtId="0" fontId="35" fillId="24" borderId="0" xfId="0" applyFont="1" applyFill="1"/>
    <xf numFmtId="0" fontId="9" fillId="24" borderId="0" xfId="0" applyFont="1" applyFill="1"/>
    <xf numFmtId="0" fontId="125" fillId="25" borderId="0" xfId="0" applyFont="1" applyFill="1"/>
    <xf numFmtId="0" fontId="35" fillId="25" borderId="0" xfId="0" applyFont="1" applyFill="1"/>
    <xf numFmtId="0" fontId="126" fillId="25" borderId="0" xfId="0" applyFont="1" applyFill="1"/>
    <xf numFmtId="0" fontId="9" fillId="25" borderId="0" xfId="0" applyFont="1" applyFill="1"/>
    <xf numFmtId="0" fontId="4" fillId="25" borderId="0" xfId="0" applyFont="1" applyFill="1"/>
    <xf numFmtId="0" fontId="136" fillId="19" borderId="0" xfId="0" applyFont="1" applyFill="1"/>
    <xf numFmtId="0" fontId="135" fillId="0" borderId="0" xfId="0" applyFont="1" applyAlignment="1">
      <alignment horizontal="left"/>
    </xf>
    <xf numFmtId="0" fontId="135" fillId="0" borderId="0" xfId="0" applyFont="1" applyProtection="1">
      <protection locked="0"/>
    </xf>
    <xf numFmtId="0" fontId="137" fillId="0" borderId="0" xfId="0" applyFont="1"/>
    <xf numFmtId="0" fontId="137" fillId="0" borderId="0" xfId="0" applyFont="1" applyAlignment="1">
      <alignment vertical="center"/>
    </xf>
    <xf numFmtId="0" fontId="138" fillId="0" borderId="0" xfId="0" applyFont="1" applyAlignment="1">
      <alignment horizontal="left" vertical="center"/>
    </xf>
    <xf numFmtId="0" fontId="4" fillId="0" borderId="0" xfId="0" applyFont="1" applyAlignment="1" applyProtection="1">
      <alignment horizontal="left" vertical="center"/>
      <protection locked="0"/>
    </xf>
    <xf numFmtId="0" fontId="139" fillId="0" borderId="0" xfId="50" applyFont="1" applyBorder="1" applyAlignment="1" applyProtection="1">
      <alignment vertical="center"/>
      <protection locked="0"/>
    </xf>
    <xf numFmtId="0" fontId="140" fillId="0" borderId="0" xfId="53" applyFont="1"/>
    <xf numFmtId="0" fontId="5" fillId="0" borderId="0" xfId="0" applyFont="1" applyAlignment="1">
      <alignment horizontal="center" vertical="center"/>
    </xf>
    <xf numFmtId="0" fontId="35"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pplyProtection="1">
      <alignment horizontal="center" vertical="center" wrapText="1"/>
      <protection locked="0"/>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12" fillId="0" borderId="12" xfId="0" applyFont="1" applyBorder="1" applyAlignment="1">
      <alignment vertical="center"/>
    </xf>
    <xf numFmtId="2" fontId="5" fillId="0" borderId="24" xfId="0" applyNumberFormat="1" applyFont="1" applyBorder="1" applyAlignment="1">
      <alignment horizontal="left" vertical="center"/>
    </xf>
    <xf numFmtId="0" fontId="18" fillId="0" borderId="0" xfId="0" applyFont="1" applyAlignment="1">
      <alignment horizontal="center"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5" fillId="0" borderId="14" xfId="0" applyFont="1" applyBorder="1" applyAlignment="1">
      <alignment vertical="center"/>
    </xf>
    <xf numFmtId="0" fontId="31" fillId="0" borderId="0" xfId="0" applyFont="1" applyAlignment="1">
      <alignment horizontal="center" vertical="center"/>
    </xf>
    <xf numFmtId="0" fontId="4" fillId="0" borderId="13" xfId="0" applyFont="1" applyBorder="1" applyAlignment="1" applyProtection="1">
      <alignment horizontal="left" vertical="center"/>
      <protection locked="0"/>
    </xf>
    <xf numFmtId="0" fontId="0" fillId="0" borderId="0" xfId="0" applyAlignment="1">
      <alignment horizontal="right" vertical="center"/>
    </xf>
    <xf numFmtId="0" fontId="5" fillId="0" borderId="18" xfId="0" applyFont="1" applyBorder="1" applyAlignment="1" applyProtection="1">
      <alignment vertical="center"/>
      <protection locked="0"/>
    </xf>
    <xf numFmtId="0" fontId="13" fillId="0" borderId="10" xfId="0" applyFont="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6" fillId="0" borderId="11" xfId="0" applyFont="1" applyBorder="1" applyAlignment="1">
      <alignment horizontal="right" vertical="center"/>
    </xf>
    <xf numFmtId="0" fontId="12" fillId="0" borderId="20" xfId="0" applyFont="1" applyBorder="1" applyAlignment="1">
      <alignment vertical="center"/>
    </xf>
    <xf numFmtId="0" fontId="14" fillId="0" borderId="11" xfId="0" applyFont="1" applyBorder="1" applyAlignment="1">
      <alignment horizontal="right" vertical="center"/>
    </xf>
    <xf numFmtId="2" fontId="14" fillId="0" borderId="10" xfId="0" applyNumberFormat="1" applyFont="1" applyBorder="1" applyAlignment="1">
      <alignment horizontal="left" vertical="center"/>
    </xf>
    <xf numFmtId="2" fontId="14" fillId="0" borderId="10" xfId="40" applyNumberFormat="1" applyFont="1" applyFill="1" applyBorder="1" applyAlignment="1">
      <alignment horizontal="left" vertical="center"/>
    </xf>
    <xf numFmtId="0" fontId="0" fillId="0" borderId="10" xfId="0" applyBorder="1" applyAlignment="1">
      <alignment vertical="center"/>
    </xf>
    <xf numFmtId="0" fontId="12" fillId="0" borderId="13" xfId="0" applyFont="1" applyBorder="1" applyAlignment="1">
      <alignment vertical="center"/>
    </xf>
    <xf numFmtId="0" fontId="8" fillId="0" borderId="0" xfId="0" applyFont="1" applyAlignment="1">
      <alignment vertical="center"/>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0" xfId="0" applyFont="1" applyAlignment="1">
      <alignment horizontal="right" vertical="center"/>
    </xf>
    <xf numFmtId="0" fontId="20" fillId="0" borderId="0" xfId="0" applyFont="1" applyAlignment="1">
      <alignment horizontal="right" vertical="center"/>
    </xf>
    <xf numFmtId="0" fontId="6" fillId="0" borderId="10" xfId="0" applyFont="1" applyBorder="1" applyAlignment="1">
      <alignment horizontal="left" vertical="center"/>
    </xf>
    <xf numFmtId="4" fontId="9" fillId="0" borderId="13" xfId="0" applyNumberFormat="1" applyFont="1" applyBorder="1" applyAlignment="1">
      <alignment horizontal="right" vertical="center"/>
    </xf>
    <xf numFmtId="0" fontId="60" fillId="0" borderId="0" xfId="50" applyFont="1" applyFill="1" applyBorder="1" applyAlignment="1" applyProtection="1">
      <alignment horizontal="center" vertical="top" wrapText="1"/>
      <protection locked="0"/>
    </xf>
    <xf numFmtId="0" fontId="17" fillId="0" borderId="0" xfId="0" applyFont="1" applyAlignment="1">
      <alignment horizontal="left" vertical="center"/>
    </xf>
    <xf numFmtId="0" fontId="11" fillId="0" borderId="0" xfId="50" applyFill="1" applyBorder="1" applyAlignment="1" applyProtection="1">
      <alignment horizontal="left" vertical="center"/>
      <protection locked="0"/>
    </xf>
    <xf numFmtId="0" fontId="7" fillId="0" borderId="0" xfId="0" applyFont="1" applyAlignment="1">
      <alignment horizontal="left" vertical="center"/>
    </xf>
    <xf numFmtId="0" fontId="9" fillId="0" borderId="13" xfId="0" applyFont="1" applyBorder="1" applyAlignment="1" applyProtection="1">
      <alignment horizontal="left" vertical="center"/>
      <protection locked="0"/>
    </xf>
    <xf numFmtId="0" fontId="9" fillId="0" borderId="0" xfId="0" applyFont="1" applyAlignment="1">
      <alignment horizontal="left"/>
    </xf>
    <xf numFmtId="0" fontId="9" fillId="0" borderId="0" xfId="0" applyFont="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76" fillId="0" borderId="0" xfId="0" applyFont="1" applyAlignment="1">
      <alignment vertical="center"/>
    </xf>
    <xf numFmtId="0" fontId="21" fillId="0" borderId="11" xfId="0" applyFont="1" applyBorder="1" applyAlignment="1">
      <alignment vertical="center"/>
    </xf>
    <xf numFmtId="0" fontId="5" fillId="0" borderId="10" xfId="0" applyFont="1" applyBorder="1" applyAlignment="1">
      <alignment horizontal="left" vertical="center"/>
    </xf>
    <xf numFmtId="49" fontId="9" fillId="0" borderId="25" xfId="0" applyNumberFormat="1" applyFont="1" applyBorder="1" applyAlignment="1" applyProtection="1">
      <alignment horizontal="left" vertical="center"/>
      <protection locked="0"/>
    </xf>
    <xf numFmtId="0" fontId="6" fillId="0" borderId="11" xfId="0" applyFont="1" applyBorder="1" applyAlignment="1">
      <alignment horizontal="center" vertical="center"/>
    </xf>
    <xf numFmtId="1" fontId="5" fillId="0" borderId="0" xfId="0" applyNumberFormat="1" applyFont="1" applyAlignment="1" applyProtection="1">
      <alignment vertical="center"/>
      <protection locked="0"/>
    </xf>
    <xf numFmtId="2" fontId="5"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protection locked="0"/>
    </xf>
    <xf numFmtId="0" fontId="7" fillId="0" borderId="0" xfId="0" applyFont="1" applyAlignment="1">
      <alignment horizontal="center" vertical="center"/>
    </xf>
    <xf numFmtId="0" fontId="17" fillId="0" borderId="11" xfId="0" applyFont="1" applyBorder="1" applyAlignment="1">
      <alignment horizontal="center" vertical="center"/>
    </xf>
    <xf numFmtId="0" fontId="57" fillId="0" borderId="0" xfId="0"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5" fillId="0" borderId="0" xfId="0" applyFont="1" applyAlignment="1">
      <alignment vertical="top" wrapText="1"/>
    </xf>
    <xf numFmtId="0" fontId="141" fillId="0" borderId="0" xfId="0" applyFont="1" applyAlignment="1">
      <alignment vertical="top" wrapText="1"/>
    </xf>
    <xf numFmtId="0" fontId="36" fillId="0" borderId="0" xfId="0" applyFont="1" applyAlignment="1">
      <alignment horizontal="center" vertical="center"/>
    </xf>
    <xf numFmtId="0" fontId="12" fillId="0" borderId="10" xfId="0" applyFont="1" applyBorder="1" applyAlignment="1">
      <alignment vertical="center"/>
    </xf>
    <xf numFmtId="2" fontId="6" fillId="0" borderId="10" xfId="0" applyNumberFormat="1" applyFont="1" applyBorder="1" applyAlignment="1">
      <alignment horizontal="left" vertical="center"/>
    </xf>
    <xf numFmtId="0" fontId="5" fillId="26" borderId="11" xfId="0" applyFont="1" applyFill="1" applyBorder="1" applyAlignment="1">
      <alignment horizontal="left" vertical="center"/>
    </xf>
    <xf numFmtId="0" fontId="5" fillId="26" borderId="16" xfId="0" applyFont="1" applyFill="1" applyBorder="1" applyAlignment="1">
      <alignment horizontal="left" vertical="center"/>
    </xf>
    <xf numFmtId="0" fontId="5" fillId="0" borderId="11" xfId="0" applyFont="1" applyBorder="1" applyAlignment="1">
      <alignment horizontal="center" vertical="center"/>
    </xf>
    <xf numFmtId="2" fontId="6" fillId="0" borderId="0" xfId="0" applyNumberFormat="1" applyFont="1" applyAlignment="1">
      <alignment vertical="center"/>
    </xf>
    <xf numFmtId="0" fontId="5" fillId="0" borderId="14" xfId="0" applyFont="1" applyBorder="1" applyAlignment="1" applyProtection="1">
      <alignment vertical="center"/>
      <protection locked="0"/>
    </xf>
    <xf numFmtId="0" fontId="5" fillId="26" borderId="10" xfId="0" applyFont="1" applyFill="1" applyBorder="1" applyAlignment="1">
      <alignment vertical="center"/>
    </xf>
    <xf numFmtId="0" fontId="5" fillId="0" borderId="25" xfId="0" applyFont="1" applyBorder="1" applyAlignment="1">
      <alignment vertical="center" wrapText="1"/>
    </xf>
    <xf numFmtId="0" fontId="0" fillId="0" borderId="0" xfId="0" applyAlignment="1">
      <alignment horizontal="center" vertical="center" wrapText="1"/>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9" fillId="0" borderId="0" xfId="0" applyFont="1" applyAlignment="1">
      <alignment horizontal="center" vertical="center" textRotation="90"/>
    </xf>
    <xf numFmtId="0" fontId="74" fillId="0" borderId="0" xfId="0" applyFont="1" applyAlignment="1">
      <alignment horizontal="center" vertical="center"/>
    </xf>
    <xf numFmtId="0" fontId="22" fillId="0" borderId="0" xfId="0" applyFont="1" applyAlignment="1" applyProtection="1">
      <alignment vertical="center"/>
      <protection locked="0"/>
    </xf>
    <xf numFmtId="4" fontId="4" fillId="0" borderId="13" xfId="0" applyNumberFormat="1" applyFont="1" applyBorder="1" applyAlignment="1">
      <alignment horizontal="right" vertical="center"/>
    </xf>
    <xf numFmtId="179" fontId="12" fillId="0" borderId="0" xfId="0" applyNumberFormat="1" applyFont="1" applyAlignment="1">
      <alignment horizontal="left" vertical="center"/>
    </xf>
    <xf numFmtId="179" fontId="12" fillId="0" borderId="0" xfId="0" applyNumberFormat="1" applyFont="1" applyAlignment="1">
      <alignment vertical="center"/>
    </xf>
    <xf numFmtId="49" fontId="5" fillId="0" borderId="20" xfId="0" applyNumberFormat="1" applyFont="1" applyBorder="1" applyAlignment="1" applyProtection="1">
      <alignment vertical="center"/>
      <protection locked="0"/>
    </xf>
    <xf numFmtId="4" fontId="9" fillId="0" borderId="18" xfId="0" applyNumberFormat="1" applyFont="1" applyBorder="1" applyAlignment="1">
      <alignment horizontal="right" vertical="center"/>
    </xf>
    <xf numFmtId="0" fontId="76" fillId="0" borderId="0" xfId="0" applyFont="1" applyAlignment="1">
      <alignment horizontal="center" vertical="center"/>
    </xf>
    <xf numFmtId="178" fontId="9" fillId="0" borderId="0" xfId="0" applyNumberFormat="1" applyFont="1" applyAlignment="1">
      <alignment horizontal="left" vertical="center"/>
    </xf>
    <xf numFmtId="0" fontId="69"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78"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9" fillId="0" borderId="10" xfId="0" applyFont="1" applyBorder="1" applyAlignment="1">
      <alignment horizontal="left" vertical="center"/>
    </xf>
    <xf numFmtId="0" fontId="9" fillId="0" borderId="0" xfId="0" applyFont="1" applyAlignment="1" applyProtection="1">
      <alignment horizontal="left" vertical="center"/>
      <protection locked="0"/>
    </xf>
    <xf numFmtId="0" fontId="128" fillId="0" borderId="0" xfId="0" applyFont="1" applyAlignment="1">
      <alignment horizontal="center" vertical="center"/>
    </xf>
    <xf numFmtId="2" fontId="5" fillId="27" borderId="13" xfId="0" applyNumberFormat="1" applyFont="1" applyFill="1" applyBorder="1" applyAlignment="1" applyProtection="1">
      <alignment horizontal="left" vertical="center"/>
      <protection locked="0"/>
    </xf>
    <xf numFmtId="2" fontId="5" fillId="27" borderId="24" xfId="0" applyNumberFormat="1" applyFont="1" applyFill="1" applyBorder="1" applyAlignment="1" applyProtection="1">
      <alignment horizontal="left" vertical="center"/>
      <protection locked="0"/>
    </xf>
    <xf numFmtId="1" fontId="5" fillId="27" borderId="13" xfId="0" applyNumberFormat="1" applyFont="1" applyFill="1" applyBorder="1" applyAlignment="1" applyProtection="1">
      <alignment horizontal="left" vertical="center"/>
      <protection locked="0"/>
    </xf>
    <xf numFmtId="1" fontId="5" fillId="27" borderId="18" xfId="0" applyNumberFormat="1" applyFont="1" applyFill="1" applyBorder="1" applyAlignment="1" applyProtection="1">
      <alignment horizontal="left" vertical="center"/>
      <protection locked="0"/>
    </xf>
    <xf numFmtId="0" fontId="6" fillId="26" borderId="0" xfId="0" applyFont="1" applyFill="1" applyAlignment="1">
      <alignment vertical="center"/>
    </xf>
    <xf numFmtId="0" fontId="5" fillId="26" borderId="11" xfId="0" applyFont="1" applyFill="1" applyBorder="1" applyAlignment="1">
      <alignment vertical="center"/>
    </xf>
    <xf numFmtId="0" fontId="5" fillId="26" borderId="16" xfId="0" applyFont="1" applyFill="1" applyBorder="1" applyAlignment="1">
      <alignment vertical="center"/>
    </xf>
    <xf numFmtId="0" fontId="57" fillId="0" borderId="0" xfId="0" applyFont="1" applyAlignment="1">
      <alignment vertical="center"/>
    </xf>
    <xf numFmtId="0" fontId="56" fillId="19" borderId="0" xfId="0" applyFont="1" applyFill="1" applyAlignment="1">
      <alignment vertical="center"/>
    </xf>
    <xf numFmtId="0" fontId="56" fillId="0" borderId="0" xfId="0" applyFont="1" applyAlignment="1" applyProtection="1">
      <alignment horizontal="center" vertical="center"/>
      <protection locked="0"/>
    </xf>
    <xf numFmtId="0" fontId="56" fillId="19" borderId="0" xfId="0" applyFont="1" applyFill="1" applyAlignment="1" applyProtection="1">
      <alignment vertical="center"/>
      <protection locked="0"/>
    </xf>
    <xf numFmtId="0" fontId="56" fillId="0" borderId="0" xfId="0" applyFont="1" applyAlignment="1">
      <alignment horizontal="left" vertical="center"/>
    </xf>
    <xf numFmtId="0" fontId="58" fillId="0" borderId="0" xfId="0" applyFont="1" applyAlignment="1" applyProtection="1">
      <alignment vertical="center"/>
      <protection locked="0"/>
    </xf>
    <xf numFmtId="0" fontId="58" fillId="0" borderId="0" xfId="0" applyFont="1" applyAlignment="1">
      <alignment vertical="center"/>
    </xf>
    <xf numFmtId="0" fontId="56" fillId="0" borderId="0" xfId="0" applyFont="1" applyAlignment="1" applyProtection="1">
      <alignment vertical="center"/>
      <protection locked="0"/>
    </xf>
    <xf numFmtId="0" fontId="58" fillId="19" borderId="0" xfId="0" applyFont="1" applyFill="1" applyAlignment="1">
      <alignment vertical="center"/>
    </xf>
    <xf numFmtId="0" fontId="57" fillId="19"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1" fontId="4" fillId="0" borderId="0" xfId="0" applyNumberFormat="1" applyFont="1"/>
    <xf numFmtId="0" fontId="4" fillId="0" borderId="0" xfId="0" applyFont="1" applyAlignment="1">
      <alignment horizontal="center"/>
    </xf>
    <xf numFmtId="1" fontId="4" fillId="0" borderId="0" xfId="0" applyNumberFormat="1" applyFont="1" applyProtection="1">
      <protection locked="0"/>
    </xf>
    <xf numFmtId="0" fontId="137" fillId="0" borderId="0" xfId="0" applyFont="1" applyAlignment="1">
      <alignment horizontal="left"/>
    </xf>
    <xf numFmtId="0" fontId="135" fillId="0" borderId="0" xfId="0" applyFont="1" applyAlignment="1">
      <alignment horizontal="left" vertical="center"/>
    </xf>
    <xf numFmtId="0" fontId="142" fillId="0" borderId="0" xfId="0" applyFont="1"/>
    <xf numFmtId="0" fontId="23" fillId="0" borderId="13" xfId="53" applyFont="1" applyBorder="1"/>
    <xf numFmtId="0" fontId="143" fillId="0" borderId="13" xfId="53" applyFont="1" applyBorder="1"/>
    <xf numFmtId="0" fontId="144" fillId="0" borderId="13" xfId="53" applyFont="1" applyBorder="1"/>
    <xf numFmtId="0" fontId="1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center" wrapText="1"/>
    </xf>
    <xf numFmtId="0" fontId="27" fillId="0" borderId="0" xfId="0" applyFont="1" applyAlignment="1">
      <alignment vertical="center" wrapText="1"/>
    </xf>
    <xf numFmtId="0" fontId="130" fillId="0" borderId="0" xfId="0" applyFont="1" applyAlignment="1">
      <alignment horizontal="left" vertical="center"/>
    </xf>
    <xf numFmtId="0" fontId="23" fillId="27" borderId="0" xfId="0" applyFont="1" applyFill="1" applyAlignment="1">
      <alignment horizontal="center"/>
    </xf>
    <xf numFmtId="0" fontId="25" fillId="27" borderId="0" xfId="0" applyFont="1" applyFill="1"/>
    <xf numFmtId="0" fontId="23" fillId="27" borderId="0" xfId="0" applyFont="1" applyFill="1"/>
    <xf numFmtId="2" fontId="6" fillId="0" borderId="10" xfId="0" applyNumberFormat="1" applyFont="1" applyBorder="1" applyAlignment="1">
      <alignment vertical="center"/>
    </xf>
    <xf numFmtId="2" fontId="5" fillId="0" borderId="10" xfId="0" applyNumberFormat="1" applyFont="1" applyBorder="1" applyAlignment="1" applyProtection="1">
      <alignment horizontal="left" vertical="center"/>
      <protection locked="0"/>
    </xf>
    <xf numFmtId="0" fontId="5" fillId="28" borderId="0" xfId="0" applyFont="1" applyFill="1" applyAlignment="1">
      <alignment vertical="center"/>
    </xf>
    <xf numFmtId="0" fontId="145" fillId="0" borderId="0" xfId="0" applyFont="1" applyAlignment="1">
      <alignment horizontal="left" vertical="center"/>
    </xf>
    <xf numFmtId="0" fontId="146" fillId="0" borderId="0" xfId="0" applyFont="1"/>
    <xf numFmtId="0" fontId="5" fillId="28" borderId="0" xfId="0" applyFont="1" applyFill="1"/>
    <xf numFmtId="0" fontId="141" fillId="0" borderId="0" xfId="0" applyFont="1" applyAlignment="1">
      <alignment horizontal="center" vertical="center"/>
    </xf>
    <xf numFmtId="0" fontId="4" fillId="0" borderId="0" xfId="53" applyFont="1" applyAlignment="1">
      <alignment horizontal="left"/>
    </xf>
    <xf numFmtId="0" fontId="4" fillId="0" borderId="0" xfId="53" applyFont="1" applyProtection="1">
      <protection locked="0"/>
    </xf>
    <xf numFmtId="0" fontId="4" fillId="0" borderId="0" xfId="53" applyFont="1"/>
    <xf numFmtId="0" fontId="137" fillId="0" borderId="0" xfId="53" applyFont="1"/>
    <xf numFmtId="0" fontId="5" fillId="0" borderId="0" xfId="53" applyFont="1"/>
    <xf numFmtId="0" fontId="147" fillId="0" borderId="0" xfId="53" applyFont="1"/>
    <xf numFmtId="0" fontId="148" fillId="0" borderId="0" xfId="53" applyFont="1"/>
    <xf numFmtId="0" fontId="5" fillId="0" borderId="0" xfId="53" applyFont="1" applyAlignment="1">
      <alignment horizontal="left" vertical="center"/>
    </xf>
    <xf numFmtId="0" fontId="5" fillId="0" borderId="0" xfId="53" applyFont="1" applyProtection="1">
      <protection locked="0"/>
    </xf>
    <xf numFmtId="0" fontId="149" fillId="0" borderId="0" xfId="0" applyFont="1"/>
    <xf numFmtId="0" fontId="4" fillId="0" borderId="0" xfId="55"/>
    <xf numFmtId="0" fontId="148" fillId="0" borderId="0" xfId="0" applyFont="1"/>
    <xf numFmtId="0" fontId="25" fillId="0" borderId="0" xfId="0" applyFont="1" applyAlignment="1">
      <alignment horizontal="left"/>
    </xf>
    <xf numFmtId="0" fontId="150" fillId="0" borderId="0" xfId="54" applyFont="1"/>
    <xf numFmtId="0" fontId="147" fillId="0" borderId="0" xfId="56" applyFont="1"/>
    <xf numFmtId="0" fontId="51" fillId="0" borderId="0" xfId="54" applyFont="1"/>
    <xf numFmtId="0" fontId="147" fillId="0" borderId="0" xfId="54" applyFont="1"/>
    <xf numFmtId="0" fontId="147" fillId="28" borderId="0" xfId="54" applyFont="1" applyFill="1"/>
    <xf numFmtId="0" fontId="151" fillId="0" borderId="0" xfId="0" applyFont="1"/>
    <xf numFmtId="0" fontId="152" fillId="0" borderId="0" xfId="0" applyFont="1"/>
    <xf numFmtId="0" fontId="153" fillId="0" borderId="0" xfId="54" applyFont="1"/>
    <xf numFmtId="0" fontId="151" fillId="0" borderId="0" xfId="0" applyFont="1" applyProtection="1">
      <protection locked="0"/>
    </xf>
    <xf numFmtId="0" fontId="152" fillId="0" borderId="0" xfId="0" applyFont="1" applyProtection="1">
      <protection locked="0"/>
    </xf>
    <xf numFmtId="0" fontId="152" fillId="0" borderId="0" xfId="0" applyFont="1" applyAlignment="1" applyProtection="1">
      <alignment horizontal="left"/>
      <protection locked="0"/>
    </xf>
    <xf numFmtId="0" fontId="152" fillId="0" borderId="0" xfId="0" applyFont="1" applyAlignment="1" applyProtection="1">
      <alignment vertical="center"/>
      <protection locked="0"/>
    </xf>
    <xf numFmtId="0" fontId="152" fillId="0" borderId="0" xfId="0" applyFont="1" applyAlignment="1" applyProtection="1">
      <alignment horizontal="left" vertical="center"/>
      <protection locked="0"/>
    </xf>
    <xf numFmtId="0" fontId="154" fillId="0" borderId="0" xfId="0" applyFont="1" applyProtection="1">
      <protection locked="0"/>
    </xf>
    <xf numFmtId="0" fontId="155" fillId="0" borderId="0" xfId="0" applyFont="1" applyProtection="1">
      <protection locked="0"/>
    </xf>
    <xf numFmtId="49" fontId="155" fillId="0" borderId="0" xfId="0" applyNumberFormat="1" applyFont="1" applyProtection="1">
      <protection locked="0"/>
    </xf>
    <xf numFmtId="0" fontId="154" fillId="0" borderId="0" xfId="0" applyFont="1"/>
    <xf numFmtId="0" fontId="152" fillId="0" borderId="0" xfId="0" applyFont="1" applyAlignment="1">
      <alignment horizontal="left" vertical="center"/>
    </xf>
    <xf numFmtId="0" fontId="151" fillId="0" borderId="0" xfId="0" applyFont="1" applyAlignment="1">
      <alignment horizontal="left"/>
    </xf>
    <xf numFmtId="0" fontId="151" fillId="0" borderId="0" xfId="0" applyFont="1" applyAlignment="1">
      <alignment horizontal="center"/>
    </xf>
    <xf numFmtId="0" fontId="151" fillId="0" borderId="0" xfId="0" applyFont="1" applyAlignment="1">
      <alignment vertical="center"/>
    </xf>
    <xf numFmtId="0" fontId="151" fillId="0" borderId="0" xfId="0" applyFont="1" applyAlignment="1">
      <alignment horizontal="left" vertical="center"/>
    </xf>
    <xf numFmtId="0" fontId="156" fillId="0" borderId="0" xfId="0" applyFont="1" applyAlignment="1">
      <alignment horizontal="center" vertical="center"/>
    </xf>
    <xf numFmtId="0" fontId="157" fillId="0" borderId="0" xfId="0" applyFont="1" applyAlignment="1">
      <alignment vertical="center"/>
    </xf>
    <xf numFmtId="0" fontId="158" fillId="0" borderId="0" xfId="0" applyFont="1" applyAlignment="1">
      <alignment vertical="center"/>
    </xf>
    <xf numFmtId="0" fontId="5" fillId="28" borderId="0" xfId="0" applyFont="1" applyFill="1" applyAlignment="1" applyProtection="1">
      <alignment horizontal="center" vertical="center"/>
      <protection locked="0"/>
    </xf>
    <xf numFmtId="0" fontId="5" fillId="28" borderId="0" xfId="0" applyFont="1" applyFill="1" applyAlignment="1">
      <alignment horizontal="right" vertical="center"/>
    </xf>
    <xf numFmtId="0" fontId="4" fillId="0" borderId="0" xfId="0" applyFont="1" applyAlignment="1">
      <alignment horizontal="left" vertical="center" wrapText="1"/>
    </xf>
    <xf numFmtId="0" fontId="4" fillId="0" borderId="11" xfId="0" applyFont="1" applyBorder="1"/>
    <xf numFmtId="0" fontId="159" fillId="0" borderId="0" xfId="0" applyFont="1" applyProtection="1">
      <protection locked="0"/>
    </xf>
    <xf numFmtId="0" fontId="152" fillId="0" borderId="0" xfId="0" applyFont="1" applyAlignment="1">
      <alignment horizontal="left"/>
    </xf>
    <xf numFmtId="0" fontId="48" fillId="0" borderId="0" xfId="60" applyFont="1" applyAlignment="1">
      <alignment horizontal="left" vertical="center"/>
    </xf>
    <xf numFmtId="0" fontId="160" fillId="0" borderId="0" xfId="53" applyFont="1" applyAlignment="1">
      <alignment horizontal="left"/>
    </xf>
    <xf numFmtId="0" fontId="49" fillId="0" borderId="0" xfId="0" applyFont="1" applyAlignment="1">
      <alignment horizontal="left"/>
    </xf>
    <xf numFmtId="0" fontId="161" fillId="0" borderId="0" xfId="0" applyFont="1"/>
    <xf numFmtId="0" fontId="159" fillId="0" borderId="0" xfId="0" applyFont="1"/>
    <xf numFmtId="0" fontId="0" fillId="0" borderId="0" xfId="0" applyAlignment="1" applyProtection="1">
      <alignment horizontal="left"/>
      <protection locked="0"/>
    </xf>
    <xf numFmtId="0" fontId="151" fillId="0" borderId="0" xfId="0" applyFont="1" applyAlignment="1" applyProtection="1">
      <alignment horizontal="left"/>
      <protection locked="0"/>
    </xf>
    <xf numFmtId="0" fontId="151" fillId="0" borderId="0" xfId="53" applyFont="1"/>
    <xf numFmtId="0" fontId="3" fillId="0" borderId="0" xfId="0" applyFont="1"/>
    <xf numFmtId="0" fontId="4" fillId="28" borderId="0" xfId="0" applyFont="1" applyFill="1"/>
    <xf numFmtId="0" fontId="23" fillId="28" borderId="0" xfId="0" applyFont="1" applyFill="1"/>
    <xf numFmtId="2" fontId="4" fillId="0" borderId="0" xfId="0" applyNumberFormat="1" applyFont="1" applyProtection="1">
      <protection locked="0"/>
    </xf>
    <xf numFmtId="2" fontId="4" fillId="0" borderId="0" xfId="0" applyNumberFormat="1" applyFont="1"/>
    <xf numFmtId="0" fontId="5" fillId="0" borderId="0" xfId="89" applyFont="1" applyAlignment="1">
      <alignment horizontal="left"/>
    </xf>
    <xf numFmtId="2" fontId="5" fillId="0" borderId="0" xfId="89" applyNumberFormat="1" applyFont="1" applyAlignment="1">
      <alignment horizontal="center"/>
    </xf>
    <xf numFmtId="0" fontId="5" fillId="0" borderId="0" xfId="89" applyFont="1" applyAlignment="1">
      <alignment horizontal="center"/>
    </xf>
    <xf numFmtId="0" fontId="6" fillId="0" borderId="0" xfId="0" applyFont="1" applyAlignment="1" applyProtection="1">
      <alignment horizontal="center" vertical="center"/>
      <protection locked="0"/>
    </xf>
    <xf numFmtId="1" fontId="5" fillId="0" borderId="20" xfId="0" applyNumberFormat="1" applyFont="1" applyBorder="1" applyAlignment="1" applyProtection="1">
      <alignment horizontal="left" vertical="center"/>
      <protection locked="0"/>
    </xf>
    <xf numFmtId="0" fontId="3" fillId="0" borderId="0" xfId="0" applyFont="1" applyAlignment="1">
      <alignment vertical="center"/>
    </xf>
    <xf numFmtId="0" fontId="4" fillId="0" borderId="0" xfId="92" applyFont="1"/>
    <xf numFmtId="0" fontId="5" fillId="0" borderId="0" xfId="92" applyFont="1" applyProtection="1">
      <protection locked="0"/>
    </xf>
    <xf numFmtId="0" fontId="5" fillId="0" borderId="0" xfId="92" applyFont="1"/>
    <xf numFmtId="0" fontId="4" fillId="28" borderId="0" xfId="92" applyFont="1" applyFill="1"/>
    <xf numFmtId="0" fontId="48" fillId="0" borderId="0" xfId="92" applyFont="1"/>
    <xf numFmtId="0" fontId="152" fillId="0" borderId="0" xfId="92" applyFont="1" applyProtection="1">
      <protection locked="0"/>
    </xf>
    <xf numFmtId="0" fontId="170" fillId="0" borderId="0" xfId="92" applyFont="1"/>
    <xf numFmtId="0" fontId="5" fillId="34" borderId="0" xfId="0" applyFont="1" applyFill="1" applyAlignment="1">
      <alignment vertical="center"/>
    </xf>
    <xf numFmtId="2" fontId="5" fillId="34" borderId="0" xfId="0" applyNumberFormat="1" applyFont="1" applyFill="1" applyAlignment="1">
      <alignment horizontal="left" vertical="center"/>
    </xf>
    <xf numFmtId="0" fontId="8" fillId="34" borderId="0" xfId="0" applyFont="1" applyFill="1" applyAlignment="1">
      <alignment vertical="center"/>
    </xf>
    <xf numFmtId="0" fontId="0" fillId="0" borderId="0" xfId="0" applyAlignment="1">
      <alignment horizontal="right"/>
    </xf>
    <xf numFmtId="0" fontId="0" fillId="28" borderId="0" xfId="0" applyFill="1"/>
    <xf numFmtId="0" fontId="137" fillId="0" borderId="0" xfId="0" applyFont="1" applyAlignment="1">
      <alignment horizontal="center" vertical="center"/>
    </xf>
    <xf numFmtId="0" fontId="171" fillId="0" borderId="0" xfId="0" applyFont="1" applyAlignment="1">
      <alignment vertical="center"/>
    </xf>
    <xf numFmtId="0" fontId="137" fillId="0" borderId="0" xfId="0" applyFont="1" applyAlignment="1">
      <alignment horizontal="left" vertical="center"/>
    </xf>
    <xf numFmtId="2" fontId="137" fillId="0" borderId="0" xfId="0" applyNumberFormat="1" applyFont="1" applyAlignment="1" applyProtection="1">
      <alignment horizontal="left" vertical="center"/>
      <protection locked="0"/>
    </xf>
    <xf numFmtId="0" fontId="164" fillId="35" borderId="0" xfId="0" applyFont="1" applyFill="1" applyAlignment="1">
      <alignment horizontal="center" vertical="center"/>
    </xf>
    <xf numFmtId="0" fontId="166" fillId="35" borderId="14" xfId="0" applyFont="1" applyFill="1" applyBorder="1" applyAlignment="1">
      <alignment horizontal="center" vertical="center"/>
    </xf>
    <xf numFmtId="0" fontId="172" fillId="0" borderId="0" xfId="0" applyFont="1"/>
    <xf numFmtId="0" fontId="42" fillId="0" borderId="0" xfId="0" applyFont="1"/>
    <xf numFmtId="0" fontId="173" fillId="0" borderId="0" xfId="0" applyFont="1"/>
    <xf numFmtId="0" fontId="174" fillId="0" borderId="0" xfId="0" applyFont="1"/>
    <xf numFmtId="0" fontId="5" fillId="0" borderId="0" xfId="50" applyFont="1" applyFill="1" applyBorder="1" applyAlignment="1" applyProtection="1">
      <alignment horizontal="left" vertical="top" wrapText="1"/>
      <protection locked="0"/>
    </xf>
    <xf numFmtId="0" fontId="175" fillId="0" borderId="0" xfId="50" applyFont="1" applyFill="1" applyBorder="1" applyAlignment="1" applyProtection="1">
      <alignment horizontal="left" vertical="center"/>
    </xf>
    <xf numFmtId="0" fontId="3" fillId="0" borderId="0" xfId="50" applyFont="1" applyFill="1" applyBorder="1" applyAlignment="1" applyProtection="1">
      <alignment horizontal="left" vertical="center" wrapText="1"/>
    </xf>
    <xf numFmtId="0" fontId="5" fillId="0" borderId="0" xfId="50" applyFont="1" applyFill="1" applyBorder="1" applyAlignment="1" applyProtection="1">
      <alignment horizontal="left" vertical="center" wrapText="1"/>
      <protection locked="0"/>
    </xf>
    <xf numFmtId="0" fontId="11" fillId="0" borderId="0" xfId="50" applyAlignment="1" applyProtection="1">
      <protection locked="0"/>
    </xf>
    <xf numFmtId="0" fontId="11" fillId="0" borderId="0" xfId="50" applyBorder="1" applyAlignment="1" applyProtection="1">
      <alignment vertical="center"/>
      <protection locked="0"/>
    </xf>
    <xf numFmtId="0" fontId="178" fillId="0" borderId="0" xfId="0" applyFont="1" applyAlignment="1">
      <alignment vertical="center"/>
    </xf>
    <xf numFmtId="0" fontId="179" fillId="0" borderId="0" xfId="0" applyFont="1"/>
    <xf numFmtId="0" fontId="180" fillId="0" borderId="0" xfId="0" applyFont="1"/>
    <xf numFmtId="0" fontId="32" fillId="0" borderId="0" xfId="0" applyFont="1" applyAlignment="1">
      <alignment horizontal="left"/>
    </xf>
    <xf numFmtId="0" fontId="32" fillId="0" borderId="0" xfId="0" applyFont="1" applyProtection="1">
      <protection locked="0"/>
    </xf>
    <xf numFmtId="0" fontId="180" fillId="0" borderId="0" xfId="0" applyFont="1" applyProtection="1">
      <protection locked="0"/>
    </xf>
    <xf numFmtId="0" fontId="181" fillId="0" borderId="0" xfId="0" applyFont="1" applyProtection="1">
      <protection locked="0"/>
    </xf>
    <xf numFmtId="0" fontId="174" fillId="0" borderId="0" xfId="0" applyFont="1" applyProtection="1">
      <protection locked="0"/>
    </xf>
    <xf numFmtId="0" fontId="58" fillId="0" borderId="0" xfId="0" applyFont="1" applyAlignment="1" applyProtection="1">
      <alignment horizontal="center" vertical="center"/>
      <protection locked="0"/>
    </xf>
    <xf numFmtId="2" fontId="17" fillId="0" borderId="0" xfId="0" applyNumberFormat="1" applyFont="1" applyAlignment="1">
      <alignment horizontal="center" vertical="top"/>
    </xf>
    <xf numFmtId="0" fontId="6" fillId="0" borderId="11" xfId="0" applyFont="1" applyBorder="1" applyAlignment="1">
      <alignment horizontal="center" vertical="top"/>
    </xf>
    <xf numFmtId="0" fontId="182" fillId="0" borderId="0" xfId="0" applyFont="1" applyAlignment="1" applyProtection="1">
      <alignment vertical="center"/>
      <protection locked="0"/>
    </xf>
    <xf numFmtId="0" fontId="182" fillId="0" borderId="0" xfId="0" applyFont="1" applyAlignment="1">
      <alignment vertical="center"/>
    </xf>
    <xf numFmtId="0" fontId="182" fillId="19" borderId="0" xfId="0" applyFont="1" applyFill="1" applyAlignment="1">
      <alignment vertical="center"/>
    </xf>
    <xf numFmtId="0" fontId="42" fillId="0" borderId="0" xfId="0" applyFont="1" applyAlignment="1">
      <alignment horizontal="center"/>
    </xf>
    <xf numFmtId="0" fontId="23" fillId="0" borderId="15" xfId="0" applyFont="1" applyBorder="1" applyAlignment="1">
      <alignment horizontal="right"/>
    </xf>
    <xf numFmtId="0" fontId="23" fillId="0" borderId="26" xfId="0" applyFont="1" applyBorder="1" applyAlignment="1">
      <alignment horizontal="right"/>
    </xf>
    <xf numFmtId="0" fontId="23" fillId="0" borderId="16" xfId="0" applyFont="1" applyBorder="1" applyAlignment="1">
      <alignment horizontal="right"/>
    </xf>
    <xf numFmtId="0" fontId="23" fillId="0" borderId="17" xfId="0" applyFont="1" applyBorder="1" applyAlignment="1">
      <alignment horizontal="right"/>
    </xf>
    <xf numFmtId="0" fontId="183" fillId="0" borderId="0" xfId="0" applyFont="1"/>
    <xf numFmtId="0" fontId="184" fillId="0" borderId="0" xfId="0" applyFont="1"/>
    <xf numFmtId="0" fontId="185" fillId="0" borderId="0" xfId="0" applyFont="1"/>
    <xf numFmtId="0" fontId="185" fillId="0" borderId="0" xfId="0" applyFont="1" applyAlignment="1">
      <alignment horizontal="left" vertical="center"/>
    </xf>
    <xf numFmtId="0" fontId="185" fillId="0" borderId="0" xfId="0" applyFont="1" applyProtection="1">
      <protection locked="0"/>
    </xf>
    <xf numFmtId="0" fontId="186" fillId="0" borderId="0" xfId="0" applyFont="1" applyProtection="1">
      <protection locked="0"/>
    </xf>
    <xf numFmtId="0" fontId="187" fillId="0" borderId="0" xfId="0" applyFont="1" applyAlignment="1">
      <alignment horizontal="left" vertical="center"/>
    </xf>
    <xf numFmtId="0" fontId="188" fillId="0" borderId="0" xfId="0" applyFont="1" applyAlignment="1">
      <alignment horizontal="left" vertical="center"/>
    </xf>
    <xf numFmtId="0" fontId="189" fillId="0" borderId="0" xfId="0" applyFont="1" applyAlignment="1">
      <alignment horizontal="left" vertical="center"/>
    </xf>
    <xf numFmtId="0" fontId="169" fillId="0" borderId="0" xfId="50" applyFont="1" applyFill="1" applyAlignment="1" applyProtection="1">
      <alignment vertical="center"/>
      <protection locked="0"/>
    </xf>
    <xf numFmtId="0" fontId="4"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9" fillId="0" borderId="0" xfId="0" applyFont="1" applyAlignment="1">
      <alignment horizontal="center" vertical="center" wrapText="1"/>
    </xf>
    <xf numFmtId="1" fontId="5" fillId="0" borderId="14" xfId="0" applyNumberFormat="1" applyFont="1" applyBorder="1" applyAlignment="1" applyProtection="1">
      <alignment horizontal="center" vertical="center"/>
      <protection locked="0"/>
    </xf>
    <xf numFmtId="49" fontId="148" fillId="0" borderId="0" xfId="0" applyNumberFormat="1" applyFont="1" applyAlignment="1" applyProtection="1">
      <alignment vertical="center"/>
      <protection locked="0"/>
    </xf>
    <xf numFmtId="49" fontId="5" fillId="0" borderId="0" xfId="0" applyNumberFormat="1" applyFont="1" applyAlignment="1" applyProtection="1">
      <alignment vertical="center"/>
      <protection locked="0"/>
    </xf>
    <xf numFmtId="2" fontId="5" fillId="0" borderId="14" xfId="0" applyNumberFormat="1" applyFont="1" applyBorder="1" applyAlignment="1" applyProtection="1">
      <alignment horizontal="left" vertical="center"/>
      <protection locked="0"/>
    </xf>
    <xf numFmtId="0" fontId="12" fillId="0" borderId="14" xfId="0" applyFont="1" applyBorder="1" applyAlignment="1">
      <alignment vertical="center"/>
    </xf>
    <xf numFmtId="0" fontId="28" fillId="0" borderId="0" xfId="0" applyFont="1" applyAlignment="1">
      <alignment vertical="center"/>
    </xf>
    <xf numFmtId="2" fontId="14" fillId="0" borderId="0" xfId="40" applyNumberFormat="1" applyFont="1" applyFill="1" applyBorder="1" applyAlignment="1">
      <alignment horizontal="left" vertical="center"/>
    </xf>
    <xf numFmtId="0" fontId="8" fillId="0" borderId="0" xfId="0" applyFont="1" applyAlignment="1">
      <alignment vertical="center" wrapText="1"/>
    </xf>
    <xf numFmtId="0" fontId="3" fillId="29" borderId="0" xfId="0" applyFont="1" applyFill="1" applyAlignment="1">
      <alignment vertical="center"/>
    </xf>
    <xf numFmtId="0" fontId="27" fillId="29" borderId="0" xfId="0" applyFont="1" applyFill="1" applyAlignment="1">
      <alignment vertical="center"/>
    </xf>
    <xf numFmtId="0" fontId="5" fillId="29" borderId="0" xfId="0" applyFont="1" applyFill="1" applyAlignment="1">
      <alignment vertical="center"/>
    </xf>
    <xf numFmtId="0" fontId="190" fillId="0" borderId="0" xfId="0" applyFont="1"/>
    <xf numFmtId="0" fontId="28" fillId="0" borderId="0" xfId="0" applyFont="1" applyAlignment="1">
      <alignment horizontal="left"/>
    </xf>
    <xf numFmtId="49" fontId="8" fillId="0" borderId="0" xfId="0" applyNumberFormat="1" applyFont="1" applyAlignment="1">
      <alignment horizontal="left"/>
    </xf>
    <xf numFmtId="0" fontId="8" fillId="0" borderId="0" xfId="0" applyFont="1" applyAlignment="1" applyProtection="1">
      <alignment horizontal="left"/>
      <protection locked="0"/>
    </xf>
    <xf numFmtId="0" fontId="8" fillId="0" borderId="0" xfId="0" applyFont="1" applyProtection="1">
      <protection locked="0"/>
    </xf>
    <xf numFmtId="179" fontId="28" fillId="0" borderId="0" xfId="0" applyNumberFormat="1" applyFont="1" applyAlignment="1">
      <alignment horizontal="left"/>
    </xf>
    <xf numFmtId="0" fontId="8" fillId="0" borderId="0" xfId="0" applyFont="1" applyAlignment="1">
      <alignment horizontal="right"/>
    </xf>
    <xf numFmtId="0" fontId="28" fillId="0" borderId="0" xfId="0" applyFont="1" applyAlignment="1" applyProtection="1">
      <alignment horizontal="left"/>
      <protection locked="0"/>
    </xf>
    <xf numFmtId="0" fontId="8" fillId="0" borderId="0" xfId="0" applyFont="1" applyAlignment="1">
      <alignment wrapText="1"/>
    </xf>
    <xf numFmtId="0" fontId="159" fillId="0" borderId="0" xfId="0" applyFont="1" applyAlignment="1">
      <alignment wrapText="1"/>
    </xf>
    <xf numFmtId="0" fontId="8" fillId="0" borderId="0" xfId="0" applyFont="1" applyAlignment="1">
      <alignment vertical="top"/>
    </xf>
    <xf numFmtId="0" fontId="191" fillId="0" borderId="0" xfId="50" applyFont="1" applyFill="1" applyBorder="1" applyAlignment="1" applyProtection="1">
      <alignment vertical="center"/>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0" fontId="8" fillId="0" borderId="0" xfId="59" applyFont="1" applyAlignment="1">
      <alignment vertical="top"/>
    </xf>
    <xf numFmtId="0" fontId="8" fillId="0" borderId="0" xfId="59" applyFont="1" applyAlignment="1">
      <alignment vertical="center"/>
    </xf>
    <xf numFmtId="0" fontId="148" fillId="37" borderId="13" xfId="0" applyFont="1" applyFill="1" applyBorder="1" applyAlignment="1" applyProtection="1">
      <alignment vertical="center"/>
      <protection locked="0"/>
    </xf>
    <xf numFmtId="0" fontId="6" fillId="29" borderId="25" xfId="0" applyFont="1" applyFill="1" applyBorder="1" applyAlignment="1">
      <alignment horizontal="center" vertical="center" wrapText="1"/>
    </xf>
    <xf numFmtId="0" fontId="6" fillId="29" borderId="0" xfId="0" applyFont="1" applyFill="1" applyAlignment="1">
      <alignment horizontal="center" vertical="center"/>
    </xf>
    <xf numFmtId="0" fontId="6" fillId="29" borderId="16" xfId="0" applyFont="1" applyFill="1" applyBorder="1" applyAlignment="1">
      <alignment horizontal="center" vertical="center"/>
    </xf>
    <xf numFmtId="0" fontId="6" fillId="29" borderId="25" xfId="0" applyFont="1" applyFill="1" applyBorder="1" applyAlignment="1">
      <alignment horizontal="center" vertical="center"/>
    </xf>
    <xf numFmtId="0" fontId="5" fillId="0" borderId="36" xfId="0" applyFont="1" applyBorder="1" applyAlignment="1">
      <alignment vertical="center"/>
    </xf>
    <xf numFmtId="1" fontId="30" fillId="0" borderId="13" xfId="0" applyNumberFormat="1" applyFont="1" applyBorder="1" applyAlignment="1">
      <alignment horizontal="center" vertical="center"/>
    </xf>
    <xf numFmtId="0" fontId="57" fillId="0" borderId="0" xfId="0" applyFont="1" applyAlignment="1">
      <alignment horizontal="center" vertical="center"/>
    </xf>
    <xf numFmtId="0" fontId="43" fillId="0" borderId="0" xfId="0" applyFont="1" applyAlignment="1">
      <alignment horizontal="center" vertical="center"/>
    </xf>
    <xf numFmtId="49" fontId="5" fillId="0" borderId="13" xfId="0" applyNumberFormat="1" applyFont="1" applyBorder="1" applyAlignment="1" applyProtection="1">
      <alignment vertical="center"/>
      <protection locked="0"/>
    </xf>
    <xf numFmtId="49" fontId="169" fillId="0" borderId="19" xfId="50" applyNumberFormat="1" applyFont="1" applyFill="1" applyBorder="1" applyAlignment="1" applyProtection="1">
      <alignment vertical="center"/>
      <protection locked="0"/>
    </xf>
    <xf numFmtId="49" fontId="169" fillId="0" borderId="24" xfId="50" applyNumberFormat="1" applyFont="1" applyFill="1" applyBorder="1" applyAlignment="1" applyProtection="1">
      <alignment vertical="center"/>
      <protection locked="0"/>
    </xf>
    <xf numFmtId="49" fontId="169" fillId="0" borderId="27" xfId="50" applyNumberFormat="1" applyFont="1" applyFill="1" applyBorder="1" applyAlignment="1" applyProtection="1">
      <alignment vertical="center"/>
      <protection locked="0"/>
    </xf>
    <xf numFmtId="0" fontId="128" fillId="0" borderId="0" xfId="0" applyFont="1" applyAlignment="1">
      <alignment vertical="center" wrapText="1"/>
    </xf>
    <xf numFmtId="0" fontId="74" fillId="29" borderId="0" xfId="0" applyFont="1" applyFill="1" applyAlignment="1">
      <alignment horizontal="left" vertical="center"/>
    </xf>
    <xf numFmtId="49" fontId="5" fillId="0" borderId="19" xfId="0" applyNumberFormat="1" applyFont="1" applyBorder="1" applyAlignment="1" applyProtection="1">
      <alignment vertical="center"/>
      <protection locked="0"/>
    </xf>
    <xf numFmtId="49" fontId="5" fillId="0" borderId="24"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0" fontId="168" fillId="0" borderId="0" xfId="0" applyFont="1" applyAlignment="1">
      <alignment vertical="center" wrapText="1"/>
    </xf>
    <xf numFmtId="0" fontId="168" fillId="0" borderId="14" xfId="0" applyFont="1" applyBorder="1" applyAlignment="1">
      <alignment vertical="center" wrapText="1"/>
    </xf>
    <xf numFmtId="0" fontId="5" fillId="0" borderId="0" xfId="0" applyFont="1" applyAlignment="1">
      <alignment vertical="center" wrapText="1"/>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0" fillId="0" borderId="25" xfId="0" applyNumberFormat="1" applyBorder="1" applyAlignment="1" applyProtection="1">
      <alignment vertical="center"/>
      <protection locked="0"/>
    </xf>
    <xf numFmtId="49" fontId="12" fillId="0" borderId="19" xfId="0" applyNumberFormat="1" applyFont="1" applyBorder="1" applyAlignment="1" applyProtection="1">
      <alignment vertical="center"/>
      <protection locked="0"/>
    </xf>
    <xf numFmtId="49" fontId="12" fillId="0" borderId="24" xfId="0" applyNumberFormat="1" applyFont="1" applyBorder="1" applyAlignment="1" applyProtection="1">
      <alignment vertical="center"/>
      <protection locked="0"/>
    </xf>
    <xf numFmtId="49" fontId="12" fillId="0" borderId="27" xfId="0" applyNumberFormat="1" applyFont="1" applyBorder="1" applyAlignment="1" applyProtection="1">
      <alignment vertical="center"/>
      <protection locked="0"/>
    </xf>
    <xf numFmtId="180" fontId="0" fillId="0" borderId="19" xfId="0" applyNumberFormat="1" applyBorder="1" applyAlignment="1" applyProtection="1">
      <alignment horizontal="left" vertical="center"/>
      <protection locked="0"/>
    </xf>
    <xf numFmtId="180" fontId="0" fillId="0" borderId="27" xfId="0" applyNumberFormat="1" applyBorder="1" applyAlignment="1" applyProtection="1">
      <alignment horizontal="left" vertical="center"/>
      <protection locked="0"/>
    </xf>
    <xf numFmtId="0" fontId="4" fillId="0" borderId="0" xfId="0" applyFont="1" applyAlignment="1">
      <alignment vertical="center"/>
    </xf>
    <xf numFmtId="0" fontId="5" fillId="0" borderId="0" xfId="0" applyFont="1" applyAlignment="1">
      <alignment horizontal="left" vertical="center"/>
    </xf>
    <xf numFmtId="0" fontId="8" fillId="0" borderId="19"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74" fillId="29" borderId="0" xfId="0" applyFont="1" applyFill="1" applyAlignment="1">
      <alignment vertical="center"/>
    </xf>
    <xf numFmtId="0" fontId="9" fillId="0" borderId="0" xfId="0" applyFont="1" applyAlignment="1">
      <alignment vertical="center" wrapText="1"/>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0" xfId="0" applyFont="1" applyAlignment="1">
      <alignment vertical="center"/>
    </xf>
    <xf numFmtId="0" fontId="5" fillId="0" borderId="10" xfId="0" applyFont="1" applyBorder="1" applyAlignment="1">
      <alignment vertical="center"/>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5" fillId="0" borderId="15"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29" fillId="30" borderId="0" xfId="0" applyFont="1" applyFill="1" applyAlignment="1">
      <alignment vertical="center"/>
    </xf>
    <xf numFmtId="0" fontId="5" fillId="0" borderId="0" xfId="0" applyFont="1" applyAlignment="1">
      <alignment vertical="top" wrapText="1"/>
    </xf>
    <xf numFmtId="0" fontId="5" fillId="0" borderId="1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8"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vertical="center"/>
    </xf>
    <xf numFmtId="0" fontId="17" fillId="0" borderId="19"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7" fillId="18" borderId="19" xfId="0" applyFont="1" applyFill="1" applyBorder="1" applyAlignment="1">
      <alignment vertical="center"/>
    </xf>
    <xf numFmtId="0" fontId="17" fillId="18" borderId="24" xfId="0" applyFont="1" applyFill="1" applyBorder="1" applyAlignment="1">
      <alignment vertical="center"/>
    </xf>
    <xf numFmtId="0" fontId="17" fillId="18" borderId="27" xfId="0" applyFont="1" applyFill="1" applyBorder="1" applyAlignment="1">
      <alignment vertical="center"/>
    </xf>
    <xf numFmtId="0" fontId="5" fillId="19" borderId="14" xfId="0" applyFont="1" applyFill="1" applyBorder="1" applyAlignment="1">
      <alignment vertical="center"/>
    </xf>
    <xf numFmtId="0" fontId="5" fillId="19" borderId="26" xfId="0" applyFont="1" applyFill="1" applyBorder="1" applyAlignment="1">
      <alignment vertical="center"/>
    </xf>
    <xf numFmtId="0" fontId="5" fillId="19" borderId="0" xfId="0" applyFont="1" applyFill="1" applyAlignment="1">
      <alignment vertical="center"/>
    </xf>
    <xf numFmtId="0" fontId="5" fillId="19" borderId="10" xfId="0" applyFont="1" applyFill="1" applyBorder="1" applyAlignment="1">
      <alignment vertical="center"/>
    </xf>
    <xf numFmtId="0" fontId="76" fillId="0" borderId="0" xfId="0" applyFont="1" applyAlignment="1">
      <alignment horizontal="center" vertical="center"/>
    </xf>
    <xf numFmtId="0" fontId="12" fillId="19" borderId="25" xfId="0" applyFont="1" applyFill="1" applyBorder="1" applyAlignment="1">
      <alignment vertical="center"/>
    </xf>
    <xf numFmtId="0" fontId="12" fillId="19" borderId="17" xfId="0" applyFont="1" applyFill="1" applyBorder="1" applyAlignment="1">
      <alignment vertical="center"/>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9" fillId="0" borderId="0" xfId="0" applyFont="1" applyAlignment="1">
      <alignment horizontal="right" vertical="center"/>
    </xf>
    <xf numFmtId="0" fontId="129" fillId="31" borderId="15" xfId="0" applyFont="1" applyFill="1" applyBorder="1" applyAlignment="1">
      <alignment horizontal="center" vertical="center" wrapText="1"/>
    </xf>
    <xf numFmtId="0" fontId="129" fillId="31" borderId="14" xfId="0" applyFont="1" applyFill="1" applyBorder="1" applyAlignment="1">
      <alignment horizontal="center" vertical="center" wrapText="1"/>
    </xf>
    <xf numFmtId="0" fontId="129" fillId="31" borderId="26" xfId="0" applyFont="1" applyFill="1" applyBorder="1" applyAlignment="1">
      <alignment horizontal="center" vertical="center" wrapText="1"/>
    </xf>
    <xf numFmtId="0" fontId="129" fillId="31" borderId="16" xfId="0" applyFont="1" applyFill="1" applyBorder="1" applyAlignment="1">
      <alignment horizontal="center" vertical="center" wrapText="1"/>
    </xf>
    <xf numFmtId="0" fontId="129" fillId="31" borderId="25" xfId="0" applyFont="1" applyFill="1" applyBorder="1" applyAlignment="1">
      <alignment horizontal="center" vertical="center" wrapText="1"/>
    </xf>
    <xf numFmtId="0" fontId="129" fillId="31" borderId="17" xfId="0" applyFont="1" applyFill="1" applyBorder="1" applyAlignment="1">
      <alignment horizontal="center" vertical="center" wrapText="1"/>
    </xf>
    <xf numFmtId="0" fontId="8" fillId="0" borderId="0" xfId="0" applyFont="1" applyAlignment="1">
      <alignment horizontal="left" vertical="center" wrapText="1"/>
    </xf>
    <xf numFmtId="0" fontId="22" fillId="0" borderId="0" xfId="0" applyFont="1" applyAlignment="1">
      <alignment vertical="center" wrapText="1"/>
    </xf>
    <xf numFmtId="178" fontId="17" fillId="0" borderId="0" xfId="0" applyNumberFormat="1" applyFont="1" applyAlignment="1">
      <alignment horizontal="left" vertical="center" wrapText="1"/>
    </xf>
    <xf numFmtId="0" fontId="16" fillId="0" borderId="14" xfId="0" applyFont="1" applyBorder="1" applyAlignment="1">
      <alignment horizontal="center" vertical="center"/>
    </xf>
    <xf numFmtId="0" fontId="27" fillId="0" borderId="0" xfId="0" applyFont="1" applyAlignment="1">
      <alignment vertical="center" wrapText="1"/>
    </xf>
    <xf numFmtId="0" fontId="6" fillId="0" borderId="0" xfId="0" applyFont="1" applyAlignment="1">
      <alignment horizontal="center" vertical="center" wrapText="1"/>
    </xf>
    <xf numFmtId="0" fontId="5" fillId="19" borderId="0" xfId="0" applyFont="1" applyFill="1" applyAlignment="1">
      <alignment horizontal="left" vertical="center" wrapText="1"/>
    </xf>
    <xf numFmtId="0" fontId="9" fillId="29" borderId="15" xfId="0" applyFont="1" applyFill="1" applyBorder="1" applyAlignment="1">
      <alignment horizontal="center" vertical="center"/>
    </xf>
    <xf numFmtId="0" fontId="9" fillId="29" borderId="26" xfId="0" applyFont="1" applyFill="1" applyBorder="1" applyAlignment="1">
      <alignment horizontal="center" vertical="center"/>
    </xf>
    <xf numFmtId="49" fontId="4" fillId="0" borderId="13" xfId="0" applyNumberFormat="1" applyFont="1" applyBorder="1" applyAlignment="1" applyProtection="1">
      <alignment vertical="center"/>
      <protection locked="0"/>
    </xf>
    <xf numFmtId="0" fontId="9" fillId="0" borderId="0" xfId="0" applyFont="1" applyAlignment="1">
      <alignment horizontal="left" vertical="center" wrapText="1"/>
    </xf>
    <xf numFmtId="0" fontId="165" fillId="35" borderId="14" xfId="0" applyFont="1" applyFill="1" applyBorder="1" applyAlignment="1">
      <alignment horizontal="center" vertical="center" wrapText="1"/>
    </xf>
    <xf numFmtId="0" fontId="165" fillId="35" borderId="14" xfId="0" applyFont="1" applyFill="1" applyBorder="1" applyAlignment="1">
      <alignment vertical="center" wrapText="1"/>
    </xf>
    <xf numFmtId="0" fontId="74" fillId="0" borderId="0" xfId="0" applyFont="1" applyAlignment="1">
      <alignment horizontal="center" vertical="center" wrapText="1"/>
    </xf>
    <xf numFmtId="0" fontId="69" fillId="0" borderId="0" xfId="0" applyFont="1" applyAlignment="1">
      <alignment horizontal="center" vertical="center" wrapText="1"/>
    </xf>
    <xf numFmtId="0" fontId="5" fillId="0" borderId="0" xfId="0" applyFont="1" applyAlignment="1">
      <alignment horizontal="right" vertical="center"/>
    </xf>
    <xf numFmtId="0" fontId="6" fillId="0" borderId="11" xfId="0" applyFont="1" applyBorder="1" applyAlignment="1">
      <alignment vertical="center" wrapText="1"/>
    </xf>
    <xf numFmtId="0" fontId="5" fillId="0" borderId="1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0" fillId="0" borderId="14" xfId="0" applyBorder="1" applyAlignment="1" applyProtection="1">
      <alignment vertical="center"/>
      <protection locked="0"/>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0" fillId="0" borderId="0" xfId="0" applyAlignment="1">
      <alignment vertical="center"/>
    </xf>
    <xf numFmtId="0" fontId="176" fillId="31" borderId="0" xfId="50" applyFont="1" applyFill="1" applyBorder="1" applyAlignment="1" applyProtection="1">
      <alignment horizontal="center" vertical="top" wrapText="1"/>
      <protection locked="0"/>
    </xf>
    <xf numFmtId="0" fontId="177" fillId="31" borderId="0" xfId="50" applyFont="1" applyFill="1" applyBorder="1" applyAlignment="1" applyProtection="1">
      <alignment horizontal="center" vertical="top" wrapText="1"/>
      <protection locked="0"/>
    </xf>
    <xf numFmtId="0" fontId="11" fillId="0" borderId="0" xfId="50" applyFill="1" applyBorder="1" applyAlignment="1" applyProtection="1">
      <alignment horizontal="left" vertical="center"/>
    </xf>
    <xf numFmtId="0" fontId="128" fillId="31" borderId="0" xfId="0" applyFont="1" applyFill="1" applyAlignment="1">
      <alignment horizontal="center" vertical="center" wrapText="1"/>
    </xf>
    <xf numFmtId="0" fontId="31" fillId="0" borderId="0" xfId="0" applyFont="1" applyAlignment="1">
      <alignment horizontal="center"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62"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5" fillId="0" borderId="0" xfId="50" applyFont="1" applyFill="1" applyBorder="1" applyAlignment="1" applyProtection="1">
      <alignment horizontal="left" vertical="top" wrapText="1"/>
    </xf>
    <xf numFmtId="0" fontId="130" fillId="0" borderId="0" xfId="0" applyFont="1" applyAlignment="1">
      <alignment vertical="center" wrapText="1"/>
    </xf>
    <xf numFmtId="0" fontId="5" fillId="0" borderId="19" xfId="50" applyFont="1" applyFill="1" applyBorder="1" applyAlignment="1" applyProtection="1">
      <alignment horizontal="left" vertical="center" wrapText="1"/>
      <protection locked="0"/>
    </xf>
    <xf numFmtId="0" fontId="5" fillId="0" borderId="24" xfId="50" applyFont="1" applyFill="1" applyBorder="1" applyAlignment="1" applyProtection="1">
      <alignment horizontal="left" vertical="center" wrapText="1"/>
      <protection locked="0"/>
    </xf>
    <xf numFmtId="0" fontId="5" fillId="0" borderId="27" xfId="50" applyFont="1" applyFill="1" applyBorder="1" applyAlignment="1" applyProtection="1">
      <alignment horizontal="left" vertical="center" wrapText="1"/>
      <protection locked="0"/>
    </xf>
    <xf numFmtId="49" fontId="9" fillId="0" borderId="13" xfId="0" applyNumberFormat="1" applyFont="1" applyBorder="1" applyAlignment="1" applyProtection="1">
      <alignment vertical="center"/>
      <protection locked="0"/>
    </xf>
    <xf numFmtId="0" fontId="129" fillId="30" borderId="0" xfId="0" applyFont="1" applyFill="1" applyAlignment="1">
      <alignment horizontal="left" vertical="center"/>
    </xf>
    <xf numFmtId="0" fontId="9" fillId="0" borderId="0" xfId="0" applyFont="1" applyAlignment="1">
      <alignment vertical="center"/>
    </xf>
    <xf numFmtId="0" fontId="9" fillId="0" borderId="0" xfId="0" applyFont="1" applyAlignment="1">
      <alignment horizontal="center" vertical="center" wrapText="1"/>
    </xf>
    <xf numFmtId="0" fontId="0" fillId="0" borderId="0" xfId="0" applyAlignment="1">
      <alignment vertical="center" wrapText="1"/>
    </xf>
    <xf numFmtId="0" fontId="6" fillId="0" borderId="25" xfId="0" applyFont="1" applyBorder="1" applyAlignment="1">
      <alignment vertical="center" wrapText="1"/>
    </xf>
    <xf numFmtId="0" fontId="9" fillId="26" borderId="15" xfId="0" applyFont="1" applyFill="1" applyBorder="1" applyAlignment="1">
      <alignment vertical="center" wrapText="1"/>
    </xf>
    <xf numFmtId="0" fontId="9" fillId="26" borderId="14" xfId="0" applyFont="1" applyFill="1" applyBorder="1" applyAlignment="1">
      <alignment vertical="center" wrapText="1"/>
    </xf>
    <xf numFmtId="0" fontId="9" fillId="26" borderId="26" xfId="0" applyFont="1" applyFill="1" applyBorder="1" applyAlignment="1">
      <alignment vertical="center" wrapText="1"/>
    </xf>
    <xf numFmtId="0" fontId="9" fillId="26" borderId="11" xfId="0" applyFont="1" applyFill="1" applyBorder="1" applyAlignment="1">
      <alignment vertical="center" wrapText="1"/>
    </xf>
    <xf numFmtId="0" fontId="9" fillId="26" borderId="0" xfId="0" applyFont="1" applyFill="1" applyAlignment="1">
      <alignment vertical="center" wrapText="1"/>
    </xf>
    <xf numFmtId="0" fontId="9" fillId="26" borderId="10" xfId="0" applyFont="1" applyFill="1" applyBorder="1" applyAlignment="1">
      <alignment vertical="center" wrapText="1"/>
    </xf>
    <xf numFmtId="0" fontId="5" fillId="26" borderId="11" xfId="0" applyFont="1" applyFill="1" applyBorder="1" applyAlignment="1">
      <alignment vertical="center"/>
    </xf>
    <xf numFmtId="0" fontId="5" fillId="26" borderId="0" xfId="0" applyFont="1" applyFill="1" applyAlignment="1">
      <alignment vertical="center"/>
    </xf>
    <xf numFmtId="0" fontId="6" fillId="36" borderId="19" xfId="50" applyFont="1" applyFill="1" applyBorder="1" applyAlignment="1" applyProtection="1">
      <alignment vertical="center" wrapText="1"/>
      <protection locked="0"/>
    </xf>
    <xf numFmtId="0" fontId="6" fillId="36" borderId="24" xfId="50" applyFont="1" applyFill="1" applyBorder="1" applyAlignment="1" applyProtection="1">
      <alignment vertical="center" wrapText="1"/>
      <protection locked="0"/>
    </xf>
    <xf numFmtId="0" fontId="6" fillId="36" borderId="27" xfId="50" applyFont="1" applyFill="1" applyBorder="1" applyAlignment="1" applyProtection="1">
      <alignment vertical="center" wrapText="1"/>
      <protection locked="0"/>
    </xf>
    <xf numFmtId="0" fontId="74" fillId="26" borderId="0" xfId="0" applyFont="1" applyFill="1" applyAlignment="1">
      <alignment horizontal="left" vertical="center"/>
    </xf>
    <xf numFmtId="0" fontId="5" fillId="26" borderId="25" xfId="0" applyFont="1" applyFill="1" applyBorder="1" applyAlignment="1">
      <alignment vertical="center"/>
    </xf>
    <xf numFmtId="0" fontId="145" fillId="0" borderId="0" xfId="0" applyFont="1" applyAlignment="1">
      <alignment horizontal="lef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6" fillId="0" borderId="0" xfId="0" applyFont="1" applyAlignment="1">
      <alignment horizontal="right" vertical="center"/>
    </xf>
    <xf numFmtId="0" fontId="9" fillId="0" borderId="10" xfId="0" applyFont="1" applyBorder="1" applyAlignment="1">
      <alignment horizontal="right" vertical="center"/>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0" xfId="0" applyFont="1" applyAlignment="1">
      <alignment horizontal="left" vertical="center" wrapText="1"/>
    </xf>
    <xf numFmtId="0" fontId="6" fillId="0" borderId="0" xfId="0" applyFont="1" applyAlignment="1">
      <alignment vertical="center"/>
    </xf>
    <xf numFmtId="0" fontId="178" fillId="0" borderId="0" xfId="0" applyFont="1" applyAlignment="1">
      <alignment horizontal="left" vertical="top" wrapText="1"/>
    </xf>
    <xf numFmtId="0" fontId="5" fillId="0" borderId="13" xfId="0" applyFont="1" applyBorder="1" applyAlignment="1" applyProtection="1">
      <alignment vertical="center"/>
      <protection locked="0"/>
    </xf>
    <xf numFmtId="2" fontId="5" fillId="0" borderId="27" xfId="0" applyNumberFormat="1" applyFont="1" applyBorder="1" applyAlignment="1">
      <alignment horizontal="left" vertical="center"/>
    </xf>
    <xf numFmtId="2" fontId="5" fillId="0" borderId="19" xfId="0" applyNumberFormat="1" applyFont="1" applyBorder="1" applyAlignment="1">
      <alignment horizontal="left" vertical="center"/>
    </xf>
    <xf numFmtId="0" fontId="63" fillId="0" borderId="0" xfId="0" applyFont="1" applyAlignment="1">
      <alignment vertical="center" wrapText="1"/>
    </xf>
    <xf numFmtId="0" fontId="135" fillId="0" borderId="0" xfId="0" applyFont="1" applyAlignment="1">
      <alignment horizontal="left" vertical="center" wrapText="1"/>
    </xf>
    <xf numFmtId="0" fontId="71" fillId="0" borderId="0" xfId="0" applyFont="1" applyAlignment="1">
      <alignment horizontal="center" vertical="center"/>
    </xf>
    <xf numFmtId="0" fontId="5" fillId="0" borderId="11" xfId="0" applyFont="1" applyBorder="1" applyAlignment="1">
      <alignment vertical="center"/>
    </xf>
    <xf numFmtId="0" fontId="12" fillId="0" borderId="0" xfId="0" applyFont="1" applyAlignment="1">
      <alignment vertical="center" wrapText="1"/>
    </xf>
    <xf numFmtId="0" fontId="128" fillId="0" borderId="0" xfId="0" applyFont="1" applyAlignment="1">
      <alignment horizontal="center" vertical="center" textRotation="90"/>
    </xf>
    <xf numFmtId="0" fontId="11" fillId="0" borderId="0" xfId="50" applyFill="1" applyBorder="1" applyAlignment="1" applyProtection="1">
      <alignment horizontal="left" vertical="center" wrapText="1"/>
      <protection locked="0"/>
    </xf>
    <xf numFmtId="49" fontId="4" fillId="0" borderId="19"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7" xfId="0" applyNumberFormat="1" applyFont="1" applyBorder="1" applyAlignment="1" applyProtection="1">
      <alignment horizontal="left" vertical="center"/>
      <protection locked="0"/>
    </xf>
    <xf numFmtId="0" fontId="6" fillId="36" borderId="19" xfId="50" applyFont="1" applyFill="1" applyBorder="1" applyAlignment="1" applyProtection="1">
      <alignment horizontal="left" vertical="center" wrapText="1"/>
      <protection locked="0"/>
    </xf>
    <xf numFmtId="0" fontId="6" fillId="36" borderId="24" xfId="50" applyFont="1" applyFill="1" applyBorder="1" applyAlignment="1" applyProtection="1">
      <alignment horizontal="left" vertical="center" wrapText="1"/>
      <protection locked="0"/>
    </xf>
    <xf numFmtId="0" fontId="6" fillId="36" borderId="27" xfId="50" applyFont="1" applyFill="1" applyBorder="1" applyAlignment="1" applyProtection="1">
      <alignment horizontal="left" vertical="center" wrapText="1"/>
      <protection locked="0"/>
    </xf>
    <xf numFmtId="0" fontId="12" fillId="0" borderId="11" xfId="0" applyFont="1" applyBorder="1" applyAlignment="1">
      <alignment vertical="center"/>
    </xf>
    <xf numFmtId="0" fontId="12" fillId="0" borderId="0" xfId="0" applyFont="1" applyAlignment="1">
      <alignment vertical="center"/>
    </xf>
    <xf numFmtId="0" fontId="9" fillId="0" borderId="19"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62" fillId="0" borderId="0" xfId="0" applyFont="1" applyAlignment="1">
      <alignment vertical="center"/>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12" fillId="0" borderId="11" xfId="0" applyFont="1" applyBorder="1" applyAlignment="1">
      <alignment horizontal="left" vertical="center" wrapText="1"/>
    </xf>
    <xf numFmtId="0" fontId="5" fillId="0" borderId="11" xfId="0" applyFont="1" applyBorder="1" applyAlignment="1">
      <alignment horizontal="left" vertical="center"/>
    </xf>
    <xf numFmtId="0" fontId="6" fillId="0" borderId="0" xfId="0" applyFont="1" applyAlignment="1">
      <alignment vertical="center" wrapText="1"/>
    </xf>
    <xf numFmtId="0" fontId="5" fillId="0" borderId="24" xfId="0" applyFont="1" applyBorder="1" applyAlignment="1" applyProtection="1">
      <alignment horizontal="left" vertical="center"/>
      <protection locked="0"/>
    </xf>
    <xf numFmtId="0" fontId="5" fillId="26" borderId="17" xfId="0" applyFont="1" applyFill="1" applyBorder="1" applyAlignment="1">
      <alignment vertical="center"/>
    </xf>
    <xf numFmtId="0" fontId="148" fillId="0" borderId="0" xfId="0" applyFont="1" applyAlignment="1">
      <alignment vertical="center"/>
    </xf>
    <xf numFmtId="0" fontId="5" fillId="29" borderId="11" xfId="0" applyFont="1" applyFill="1" applyBorder="1" applyAlignment="1">
      <alignment horizontal="right" vertical="center"/>
    </xf>
    <xf numFmtId="0" fontId="5" fillId="29" borderId="10" xfId="0" applyFont="1" applyFill="1" applyBorder="1" applyAlignment="1">
      <alignment horizontal="right" vertical="center"/>
    </xf>
    <xf numFmtId="0" fontId="9" fillId="26" borderId="0" xfId="0" applyFont="1" applyFill="1" applyAlignment="1">
      <alignment horizontal="center" vertical="center" wrapText="1"/>
    </xf>
    <xf numFmtId="0" fontId="6" fillId="0" borderId="10" xfId="0" applyFont="1" applyBorder="1" applyAlignment="1">
      <alignment horizontal="right" vertical="center"/>
    </xf>
    <xf numFmtId="0" fontId="163" fillId="0" borderId="0" xfId="0" applyFont="1" applyAlignment="1">
      <alignment horizontal="center" vertical="center"/>
    </xf>
    <xf numFmtId="0" fontId="36" fillId="18" borderId="15" xfId="0" applyFont="1" applyFill="1" applyBorder="1" applyAlignment="1">
      <alignment vertical="center" wrapText="1"/>
    </xf>
    <xf numFmtId="0" fontId="36" fillId="18" borderId="14" xfId="0" applyFont="1" applyFill="1" applyBorder="1" applyAlignment="1">
      <alignment vertical="center" wrapText="1"/>
    </xf>
    <xf numFmtId="0" fontId="36" fillId="18" borderId="26" xfId="0" applyFont="1" applyFill="1" applyBorder="1" applyAlignment="1">
      <alignment vertical="center" wrapText="1"/>
    </xf>
    <xf numFmtId="0" fontId="36" fillId="18" borderId="11" xfId="0" applyFont="1" applyFill="1" applyBorder="1" applyAlignment="1">
      <alignment vertical="center" wrapText="1"/>
    </xf>
    <xf numFmtId="0" fontId="36" fillId="18" borderId="0" xfId="0" applyFont="1" applyFill="1" applyAlignment="1">
      <alignment vertical="center" wrapText="1"/>
    </xf>
    <xf numFmtId="0" fontId="36" fillId="18" borderId="10" xfId="0" applyFont="1" applyFill="1" applyBorder="1" applyAlignment="1">
      <alignment vertical="center" wrapText="1"/>
    </xf>
    <xf numFmtId="0" fontId="36" fillId="18" borderId="16" xfId="0" applyFont="1" applyFill="1" applyBorder="1" applyAlignment="1">
      <alignment vertical="center" wrapText="1"/>
    </xf>
    <xf numFmtId="0" fontId="36" fillId="18" borderId="25" xfId="0" applyFont="1" applyFill="1" applyBorder="1" applyAlignment="1">
      <alignment vertical="center" wrapText="1"/>
    </xf>
    <xf numFmtId="0" fontId="36"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6"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5"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7" xfId="0" applyFont="1" applyBorder="1" applyAlignment="1">
      <alignment horizontal="center" vertical="center" wrapText="1"/>
    </xf>
    <xf numFmtId="0" fontId="9" fillId="0" borderId="0" xfId="0" applyFont="1"/>
    <xf numFmtId="0" fontId="9" fillId="32" borderId="0" xfId="0" applyFont="1" applyFill="1" applyAlignment="1">
      <alignment horizontal="center"/>
    </xf>
    <xf numFmtId="49" fontId="5" fillId="0" borderId="0" xfId="0" applyNumberFormat="1" applyFont="1" applyAlignment="1">
      <alignment horizontal="center" wrapText="1"/>
    </xf>
    <xf numFmtId="0" fontId="0" fillId="0" borderId="0" xfId="0"/>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35" fillId="19" borderId="0" xfId="0" applyFont="1" applyFill="1" applyAlignment="1">
      <alignment horizontal="center" vertical="center" wrapText="1"/>
    </xf>
    <xf numFmtId="0" fontId="0" fillId="19" borderId="0" xfId="0" applyFill="1" applyAlignment="1">
      <alignment horizontal="center" vertical="center" wrapText="1"/>
    </xf>
    <xf numFmtId="0" fontId="43" fillId="19" borderId="0" xfId="0" applyFont="1" applyFill="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10" fillId="19" borderId="13" xfId="0" applyNumberFormat="1" applyFont="1" applyFill="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3" fillId="19" borderId="13" xfId="0" applyFont="1" applyFill="1" applyBorder="1" applyAlignment="1">
      <alignment horizontal="center" vertical="center" wrapText="1"/>
    </xf>
    <xf numFmtId="2" fontId="3" fillId="19" borderId="20"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4" fillId="19" borderId="12" xfId="0" applyFont="1" applyFill="1" applyBorder="1" applyAlignment="1">
      <alignment horizontal="center" vertical="center" wrapText="1"/>
    </xf>
    <xf numFmtId="0" fontId="0" fillId="0" borderId="12" xfId="0" applyBorder="1"/>
    <xf numFmtId="0" fontId="0" fillId="0" borderId="18" xfId="0" applyBorder="1"/>
  </cellXfs>
  <cellStyles count="93">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builtinId="30" customBuiltin="1"/>
    <cellStyle name="20% - アクセント 2" xfId="8" builtinId="34" customBuiltin="1"/>
    <cellStyle name="20% - アクセント 3" xfId="9" builtinId="38" customBuiltin="1"/>
    <cellStyle name="20% - アクセント 4" xfId="10" builtinId="42" customBuiltin="1"/>
    <cellStyle name="20% - アクセント 5" xfId="11" builtinId="46" customBuiltin="1"/>
    <cellStyle name="20% - アクセント 6" xfId="12" builtinId="50"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builtinId="31" customBuiltin="1"/>
    <cellStyle name="40% - アクセント 2" xfId="20" builtinId="35" customBuiltin="1"/>
    <cellStyle name="40% - アクセント 3" xfId="21" builtinId="39" customBuiltin="1"/>
    <cellStyle name="40% - アクセント 4" xfId="22" builtinId="43" customBuiltin="1"/>
    <cellStyle name="40% - アクセント 5" xfId="23" builtinId="47" customBuiltin="1"/>
    <cellStyle name="40% - アクセント 6" xfId="24" builtinId="51"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builtinId="32" customBuiltin="1"/>
    <cellStyle name="60% - アクセント 2" xfId="32" builtinId="36" customBuiltin="1"/>
    <cellStyle name="60% - アクセント 3" xfId="33" builtinId="40" customBuiltin="1"/>
    <cellStyle name="60% - アクセント 4" xfId="34" builtinId="44" customBuiltin="1"/>
    <cellStyle name="60% - アクセント 5" xfId="35" builtinId="48" customBuiltin="1"/>
    <cellStyle name="60% - アクセント 6" xfId="36" builtinId="52" customBuiltin="1"/>
    <cellStyle name="Buena" xfId="37" xr:uid="{00000000-0005-0000-0000-00003D000000}"/>
    <cellStyle name="Celda de comprobación" xfId="38" xr:uid="{00000000-0005-0000-0000-00003F000000}"/>
    <cellStyle name="Celda vinculada" xfId="39" xr:uid="{00000000-0005-0000-0000-000040000000}"/>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Incorrecto" xfId="51" xr:uid="{00000000-0005-0000-0000-000053000000}"/>
    <cellStyle name="Neutral 2" xfId="52" xr:uid="{00000000-0005-0000-0000-00005700000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89" xr:uid="{00000000-0005-0000-0000-00005D000000}"/>
    <cellStyle name="Normal 6" xfId="9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90" xr:uid="{00000000-0005-0000-0000-000064000000}"/>
    <cellStyle name="Salida" xfId="62" xr:uid="{00000000-0005-0000-0000-000066000000}"/>
    <cellStyle name="Texto de advertencia" xfId="63" xr:uid="{00000000-0005-0000-0000-000067000000}"/>
    <cellStyle name="Total 2" xfId="64" xr:uid="{00000000-0005-0000-0000-00006A000000}"/>
    <cellStyle name="Total 3" xfId="91" xr:uid="{00000000-0005-0000-0000-00006B000000}"/>
    <cellStyle name="アクセント 1" xfId="65" builtinId="29" customBuiltin="1"/>
    <cellStyle name="アクセント 2" xfId="66" builtinId="33" customBuiltin="1"/>
    <cellStyle name="アクセント 3" xfId="67" builtinId="37" customBuiltin="1"/>
    <cellStyle name="アクセント 4" xfId="68" builtinId="41" customBuiltin="1"/>
    <cellStyle name="アクセント 5" xfId="69" builtinId="45" customBuiltin="1"/>
    <cellStyle name="アクセント 6" xfId="70" builtinId="49" customBuiltin="1"/>
    <cellStyle name="タイトル" xfId="71" builtinId="15" customBuiltin="1"/>
    <cellStyle name="チェック セル" xfId="72" builtinId="23" customBuiltin="1"/>
    <cellStyle name="どちらでもない" xfId="73" builtinId="28" customBuiltin="1"/>
    <cellStyle name="ハイパーリンク" xfId="50" builtinId="8"/>
    <cellStyle name="メモ" xfId="74" xr:uid="{00000000-0005-0000-0000-000076000000}"/>
    <cellStyle name="メモ 2" xfId="75" xr:uid="{00000000-0005-0000-0000-000077000000}"/>
    <cellStyle name="リンク セル" xfId="76" builtinId="24" customBuiltin="1"/>
    <cellStyle name="悪い" xfId="79" builtinId="27" customBuiltin="1"/>
    <cellStyle name="計算" xfId="85" builtinId="22" customBuiltin="1"/>
    <cellStyle name="警告文" xfId="87" builtinId="11" customBuiltin="1"/>
    <cellStyle name="桁区切り [0.00]" xfId="40" builtinId="3"/>
    <cellStyle name="見出し 1" xfId="81" builtinId="16" customBuiltin="1"/>
    <cellStyle name="見出し 2" xfId="82" builtinId="17" customBuiltin="1"/>
    <cellStyle name="見出し 3" xfId="83" builtinId="18" customBuiltin="1"/>
    <cellStyle name="見出し 4" xfId="84" builtinId="19" customBuiltin="1"/>
    <cellStyle name="集計" xfId="88" builtinId="25" customBuiltin="1"/>
    <cellStyle name="出力" xfId="78" builtinId="21" customBuiltin="1"/>
    <cellStyle name="説明文" xfId="86" builtinId="53" customBuiltin="1"/>
    <cellStyle name="入力" xfId="77" builtinId="20" customBuiltin="1"/>
    <cellStyle name="標準" xfId="0" builtinId="0"/>
    <cellStyle name="良い" xfId="80" builtinId="26" customBuiltin="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E23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9" dropStyle="combo" dx="25" fmlaLink="$C$400" fmlaRange="country2!$A$11:$A$48" noThreeD="1" sel="1" val="0"/>
</file>

<file path=xl/ctrlProps/ctrlProp10.xml><?xml version="1.0" encoding="utf-8"?>
<formControlPr xmlns="http://schemas.microsoft.com/office/spreadsheetml/2009/9/main" objectType="Drop" dropLines="11" dropStyle="combo" dx="25" fmlaLink="$C$344" fmlaRange="$B$358:$B$368" noThreeD="1" sel="1" val="0"/>
</file>

<file path=xl/ctrlProps/ctrlProp11.xml><?xml version="1.0" encoding="utf-8"?>
<formControlPr xmlns="http://schemas.microsoft.com/office/spreadsheetml/2009/9/main" objectType="Drop" dropLines="10" dropStyle="combo" dx="25" fmlaLink="$C$346" fmlaRange="$B$375:$B$384" noThreeD="1" sel="1" val="0"/>
</file>

<file path=xl/ctrlProps/ctrlProp12.xml><?xml version="1.0" encoding="utf-8"?>
<formControlPr xmlns="http://schemas.microsoft.com/office/spreadsheetml/2009/9/main" objectType="Drop" dropLines="13" dropStyle="combo" dx="25" fmlaLink="$C$347" fmlaRange="$B$385:$B$397" noThreeD="1" sel="1" val="0"/>
</file>

<file path=xl/ctrlProps/ctrlProp13.xml><?xml version="1.0" encoding="utf-8"?>
<formControlPr xmlns="http://schemas.microsoft.com/office/spreadsheetml/2009/9/main" objectType="Drop" dropLines="6" dropStyle="combo" dx="25" fmlaLink="$C$348" fmlaRange="$B$399:$B$404" noThreeD="1" sel="1" val="0"/>
</file>

<file path=xl/ctrlProps/ctrlProp14.xml><?xml version="1.0" encoding="utf-8"?>
<formControlPr xmlns="http://schemas.microsoft.com/office/spreadsheetml/2009/9/main" objectType="Drop" dropLines="15" dropStyle="combo" dx="25" fmlaLink="$C$349" fmlaRange="$B$468:$B$482" noThreeD="1" sel="1" val="0"/>
</file>

<file path=xl/ctrlProps/ctrlProp15.xml><?xml version="1.0" encoding="utf-8"?>
<formControlPr xmlns="http://schemas.microsoft.com/office/spreadsheetml/2009/9/main" objectType="Drop" dropLines="5" dropStyle="combo" dx="25" fmlaLink="$C$350" fmlaRange="$B$485:$B$489" noThreeD="1" sel="1" val="0"/>
</file>

<file path=xl/ctrlProps/ctrlProp16.xml><?xml version="1.0" encoding="utf-8"?>
<formControlPr xmlns="http://schemas.microsoft.com/office/spreadsheetml/2009/9/main" objectType="Drop" dropLines="15" dropStyle="combo" dx="25" fmlaLink="$C$345" fmlaRange="$B$495:$B$509" noThreeD="1" sel="1" val="0"/>
</file>

<file path=xl/ctrlProps/ctrlProp17.xml><?xml version="1.0" encoding="utf-8"?>
<formControlPr xmlns="http://schemas.microsoft.com/office/spreadsheetml/2009/9/main" objectType="Drop" dropLines="4" dropStyle="combo" dx="25" fmlaLink="$C$382" fmlaRange="$B$490:$B$493" noThreeD="1" sel="1" val="0"/>
</file>

<file path=xl/ctrlProps/ctrlProp18.xml><?xml version="1.0" encoding="utf-8"?>
<formControlPr xmlns="http://schemas.microsoft.com/office/spreadsheetml/2009/9/main" objectType="Drop" dropLines="4" dropStyle="combo" dx="25" fmlaLink="$C$374" fmlaRange="$B$407:$B$410" noThreeD="1" sel="1" val="0"/>
</file>

<file path=xl/ctrlProps/ctrlProp19.xml><?xml version="1.0" encoding="utf-8"?>
<formControlPr xmlns="http://schemas.microsoft.com/office/spreadsheetml/2009/9/main" objectType="Drop" dropLines="3" dropStyle="combo" dx="25" fmlaLink="$C$375" fmlaRange="$B$411:$B$413" noThreeD="1" sel="1" val="0"/>
</file>

<file path=xl/ctrlProps/ctrlProp2.xml><?xml version="1.0" encoding="utf-8"?>
<formControlPr xmlns="http://schemas.microsoft.com/office/spreadsheetml/2009/9/main" objectType="Drop" dropLines="6" dropStyle="combo" dx="25" fmlaLink="$C$354" fmlaRange="$B$425:$B$430" noThreeD="1" sel="1" val="0"/>
</file>

<file path=xl/ctrlProps/ctrlProp20.xml><?xml version="1.0" encoding="utf-8"?>
<formControlPr xmlns="http://schemas.microsoft.com/office/spreadsheetml/2009/9/main" objectType="Drop" dropLines="5" dropStyle="combo" dx="25" fmlaLink="$C$376" fmlaRange="$B$415:$B$419" noThreeD="1" sel="1" val="0"/>
</file>

<file path=xl/ctrlProps/ctrlProp21.xml><?xml version="1.0" encoding="utf-8"?>
<formControlPr xmlns="http://schemas.microsoft.com/office/spreadsheetml/2009/9/main" objectType="Drop" dropLines="6" dropStyle="combo" dx="25" fmlaLink="$C$359" fmlaRange="$B$512:$B$519" noThreeD="1" sel="1" val="0"/>
</file>

<file path=xl/ctrlProps/ctrlProp22.xml><?xml version="1.0" encoding="utf-8"?>
<formControlPr xmlns="http://schemas.microsoft.com/office/spreadsheetml/2009/9/main" objectType="Drop" dropLines="7" dropStyle="combo" dx="25" fmlaLink="$H$441" fmlaRange="$G$342:$G$348" noThreeD="1" sel="6" val="0"/>
</file>

<file path=xl/ctrlProps/ctrlProp23.xml><?xml version="1.0" encoding="utf-8"?>
<formControlPr xmlns="http://schemas.microsoft.com/office/spreadsheetml/2009/9/main" objectType="Drop" dropLines="6" dropStyle="combo" dx="25" fmlaLink="$C$393" fmlaRange="'Area 2'!$B$4:$B$9" noThreeD="1" sel="1" val="0"/>
</file>

<file path=xl/ctrlProps/ctrlProp24.xml><?xml version="1.0" encoding="utf-8"?>
<formControlPr xmlns="http://schemas.microsoft.com/office/spreadsheetml/2009/9/main" objectType="Drop" dropLines="42" dropStyle="combo" dx="25" fmlaLink="$C$394" fmlaRange="'Area 2'!$E$15:$E$56" noThreeD="1" sel="1" val="0"/>
</file>

<file path=xl/ctrlProps/ctrlProp25.xml><?xml version="1.0" encoding="utf-8"?>
<formControlPr xmlns="http://schemas.microsoft.com/office/spreadsheetml/2009/9/main" objectType="Drop" dropLines="4" dropStyle="combo" dx="25" fmlaLink="$C$385" fmlaRange="$B$521:$B$524" noThreeD="1" sel="1" val="0"/>
</file>

<file path=xl/ctrlProps/ctrlProp26.xml><?xml version="1.0" encoding="utf-8"?>
<formControlPr xmlns="http://schemas.microsoft.com/office/spreadsheetml/2009/9/main" objectType="Drop" dropLines="3" dropStyle="combo" dx="25" fmlaLink="$C$372" fmlaRange="$B$528:$B$530" noThreeD="1" sel="1" val="0"/>
</file>

<file path=xl/ctrlProps/ctrlProp27.xml><?xml version="1.0" encoding="utf-8"?>
<formControlPr xmlns="http://schemas.microsoft.com/office/spreadsheetml/2009/9/main" objectType="Drop" dropLines="3" dropStyle="combo" dx="25" fmlaLink="$C$373" fmlaRange="$B$528:$B$530" noThreeD="1" sel="1" val="0"/>
</file>

<file path=xl/ctrlProps/ctrlProp28.xml><?xml version="1.0" encoding="utf-8"?>
<formControlPr xmlns="http://schemas.microsoft.com/office/spreadsheetml/2009/9/main" objectType="Drop" dropLines="3" dropStyle="combo" dx="25" fmlaLink="$C$378" fmlaRange="$B$528:$B$530" noThreeD="1" sel="1" val="0"/>
</file>

<file path=xl/ctrlProps/ctrlProp29.xml><?xml version="1.0" encoding="utf-8"?>
<formControlPr xmlns="http://schemas.microsoft.com/office/spreadsheetml/2009/9/main" objectType="Drop" dropLines="3" dropStyle="combo" dx="25" fmlaLink="$C$362" fmlaRange="$B$528:$B$530" noThreeD="1" sel="1" val="0"/>
</file>

<file path=xl/ctrlProps/ctrlProp3.xml><?xml version="1.0" encoding="utf-8"?>
<formControlPr xmlns="http://schemas.microsoft.com/office/spreadsheetml/2009/9/main" objectType="Drop" dropLines="5" dropStyle="combo" dx="25" fmlaLink="$C$355" fmlaRange="$B$432:$B$436" noThreeD="1" sel="1" val="0"/>
</file>

<file path=xl/ctrlProps/ctrlProp30.xml><?xml version="1.0" encoding="utf-8"?>
<formControlPr xmlns="http://schemas.microsoft.com/office/spreadsheetml/2009/9/main" objectType="Drop" dropLines="3" dropStyle="combo" dx="25" fmlaLink="$C$363" fmlaRange="$B$528:$B$530" noThreeD="1" sel="1" val="0"/>
</file>

<file path=xl/ctrlProps/ctrlProp31.xml><?xml version="1.0" encoding="utf-8"?>
<formControlPr xmlns="http://schemas.microsoft.com/office/spreadsheetml/2009/9/main" objectType="Drop" dropLines="3" dropStyle="combo" dx="25" fmlaLink="$C$365" fmlaRange="$B$528:$B$530" noThreeD="1" sel="1" val="0"/>
</file>

<file path=xl/ctrlProps/ctrlProp32.xml><?xml version="1.0" encoding="utf-8"?>
<formControlPr xmlns="http://schemas.microsoft.com/office/spreadsheetml/2009/9/main" objectType="Drop" dropLines="3" dropStyle="combo" dx="25" fmlaLink="$C$371" fmlaRange="$B$528:$B$530" noThreeD="1" sel="1" val="0"/>
</file>

<file path=xl/ctrlProps/ctrlProp33.xml><?xml version="1.0" encoding="utf-8"?>
<formControlPr xmlns="http://schemas.microsoft.com/office/spreadsheetml/2009/9/main" objectType="Drop" dropLines="3" dropStyle="combo" dx="25" fmlaLink="$C$368" fmlaRange="$B$528:$B$530" noThreeD="1" sel="1" val="0"/>
</file>

<file path=xl/ctrlProps/ctrlProp34.xml><?xml version="1.0" encoding="utf-8"?>
<formControlPr xmlns="http://schemas.microsoft.com/office/spreadsheetml/2009/9/main" objectType="Drop" dropLines="3" dropStyle="combo" dx="25" fmlaLink="$C$384" fmlaRange="$B$528:$B$530" noThreeD="1" sel="1" val="0"/>
</file>

<file path=xl/ctrlProps/ctrlProp35.xml><?xml version="1.0" encoding="utf-8"?>
<formControlPr xmlns="http://schemas.microsoft.com/office/spreadsheetml/2009/9/main" objectType="Drop" dropLines="4" dropStyle="combo" dx="25" fmlaLink="$C$388" fmlaRange="$C$547:$C$550" noThreeD="1" sel="1" val="0"/>
</file>

<file path=xl/ctrlProps/ctrlProp36.xml><?xml version="1.0" encoding="utf-8"?>
<formControlPr xmlns="http://schemas.microsoft.com/office/spreadsheetml/2009/9/main" objectType="Drop" dropLines="3" dropStyle="combo" dx="25" fmlaLink="$C$389" fmlaRange="$B$546:$B$548" noThreeD="1" sel="1" val="0"/>
</file>

<file path=xl/ctrlProps/ctrlProp37.xml><?xml version="1.0" encoding="utf-8"?>
<formControlPr xmlns="http://schemas.microsoft.com/office/spreadsheetml/2009/9/main" objectType="Drop" dropLines="3" dropStyle="combo" dx="25" fmlaLink="$C$386" fmlaRange="$B$528:$B$530" noThreeD="1" sel="1" val="0"/>
</file>

<file path=xl/ctrlProps/ctrlProp38.xml><?xml version="1.0" encoding="utf-8"?>
<formControlPr xmlns="http://schemas.microsoft.com/office/spreadsheetml/2009/9/main" objectType="Drop" dropLines="4" dropStyle="combo" dx="25" fmlaLink="$C$397" fmlaRange="$B$532:$B$535" noThreeD="1" sel="1" val="0"/>
</file>

<file path=xl/ctrlProps/ctrlProp39.xml><?xml version="1.0" encoding="utf-8"?>
<formControlPr xmlns="http://schemas.microsoft.com/office/spreadsheetml/2009/9/main" objectType="Drop" dropLines="5" dropStyle="combo" dx="25" fmlaLink="$C$398" fmlaRange="country2!$B$3:$B$8" noThreeD="1" sel="1" val="0"/>
</file>

<file path=xl/ctrlProps/ctrlProp4.xml><?xml version="1.0" encoding="utf-8"?>
<formControlPr xmlns="http://schemas.microsoft.com/office/spreadsheetml/2009/9/main" objectType="Drop" dropLines="4" dropStyle="combo" dx="25" fmlaLink="$C$357" fmlaRange="$B$443:$B$446" noThreeD="1" sel="1" val="0"/>
</file>

<file path=xl/ctrlProps/ctrlProp40.xml><?xml version="1.0" encoding="utf-8"?>
<formControlPr xmlns="http://schemas.microsoft.com/office/spreadsheetml/2009/9/main" objectType="Drop" dropLines="3" dropStyle="combo" dx="25" fmlaLink="$C$383" fmlaRange="$B$528:$B$530" noThreeD="1" sel="1" val="0"/>
</file>

<file path=xl/ctrlProps/ctrlProp41.xml><?xml version="1.0" encoding="utf-8"?>
<formControlPr xmlns="http://schemas.microsoft.com/office/spreadsheetml/2009/9/main" objectType="Drop" dropLines="3" dropStyle="combo" dx="25" fmlaLink="$C$407" fmlaRange="$B$528:$B$530" noThreeD="1" sel="1" val="0"/>
</file>

<file path=xl/ctrlProps/ctrlProp42.xml><?xml version="1.0" encoding="utf-8"?>
<formControlPr xmlns="http://schemas.microsoft.com/office/spreadsheetml/2009/9/main" objectType="Drop" dropLines="3" dropStyle="combo" dx="25" fmlaLink="$C$408" fmlaRange="$B$528:$B$530" noThreeD="1" sel="1" val="0"/>
</file>

<file path=xl/ctrlProps/ctrlProp43.xml><?xml version="1.0" encoding="utf-8"?>
<formControlPr xmlns="http://schemas.microsoft.com/office/spreadsheetml/2009/9/main" objectType="Drop" dropLines="3" dropStyle="combo" dx="25" fmlaLink="$C$409" fmlaRange="$B$528:$B$530" noThreeD="1" sel="1" val="0"/>
</file>

<file path=xl/ctrlProps/ctrlProp44.xml><?xml version="1.0" encoding="utf-8"?>
<formControlPr xmlns="http://schemas.microsoft.com/office/spreadsheetml/2009/9/main" objectType="Drop" dropLines="3" dropStyle="combo" dx="25" fmlaLink="$C$410" fmlaRange="$B$528:$B$530" noThreeD="1" sel="1" val="0"/>
</file>

<file path=xl/ctrlProps/ctrlProp45.xml><?xml version="1.0" encoding="utf-8"?>
<formControlPr xmlns="http://schemas.microsoft.com/office/spreadsheetml/2009/9/main" objectType="Drop" dropLines="3" dropStyle="combo" dx="25" fmlaLink="$C$379" fmlaRange="$B$552:$B$554" noThreeD="1" sel="2" val="0"/>
</file>

<file path=xl/ctrlProps/ctrlProp46.xml><?xml version="1.0" encoding="utf-8"?>
<formControlPr xmlns="http://schemas.microsoft.com/office/spreadsheetml/2009/9/main" objectType="Drop" dropLines="3" dropStyle="combo" dx="25" fmlaLink="$C$413" fmlaRange="$B$528:$B$530" noThreeD="1" sel="1" val="0"/>
</file>

<file path=xl/ctrlProps/ctrlProp47.xml><?xml version="1.0" encoding="utf-8"?>
<formControlPr xmlns="http://schemas.microsoft.com/office/spreadsheetml/2009/9/main" objectType="Drop" dropLines="3" dropStyle="combo" dx="25" fmlaLink="$C$414" fmlaRange="$B$528:$B$530" noThreeD="1" sel="1" val="0"/>
</file>

<file path=xl/ctrlProps/ctrlProp48.xml><?xml version="1.0" encoding="utf-8"?>
<formControlPr xmlns="http://schemas.microsoft.com/office/spreadsheetml/2009/9/main" objectType="CheckBox" fmlaLink="$C$361" lockText="1" noThreeD="1"/>
</file>

<file path=xl/ctrlProps/ctrlProp49.xml><?xml version="1.0" encoding="utf-8"?>
<formControlPr xmlns="http://schemas.microsoft.com/office/spreadsheetml/2009/9/main" objectType="Drop" dropLines="3" dropStyle="combo" dx="25" fmlaLink="$A$431" fmlaRange="$E$529:$E$531" noThreeD="1" sel="1" val="0"/>
</file>

<file path=xl/ctrlProps/ctrlProp5.xml><?xml version="1.0" encoding="utf-8"?>
<formControlPr xmlns="http://schemas.microsoft.com/office/spreadsheetml/2009/9/main" objectType="Drop" dropLines="9" dropStyle="combo" dx="25" fmlaLink="$C$358" fmlaRange="$B$447:$B$455" noThreeD="1" sel="1" val="0"/>
</file>

<file path=xl/ctrlProps/ctrlProp50.xml><?xml version="1.0" encoding="utf-8"?>
<formControlPr xmlns="http://schemas.microsoft.com/office/spreadsheetml/2009/9/main" objectType="Drop" dropLines="3" dropStyle="combo" dx="25" fmlaLink="$C$387" fmlaRange="$B$528:$B$530" noThreeD="1" sel="1" val="0"/>
</file>

<file path=xl/ctrlProps/ctrlProp51.xml><?xml version="1.0" encoding="utf-8"?>
<formControlPr xmlns="http://schemas.microsoft.com/office/spreadsheetml/2009/9/main" objectType="Drop" dropLines="3" dropStyle="combo" dx="25" fmlaLink="$C$366" fmlaRange="$F$366:$F$368" noThreeD="1" sel="1" val="0"/>
</file>

<file path=xl/ctrlProps/ctrlProp6.xml><?xml version="1.0" encoding="utf-8"?>
<formControlPr xmlns="http://schemas.microsoft.com/office/spreadsheetml/2009/9/main" objectType="Drop" dropLines="4" dropStyle="combo" dx="25" fmlaLink="$C$352" fmlaRange="$B$456:$B$459" noThreeD="1" sel="1" val="0"/>
</file>

<file path=xl/ctrlProps/ctrlProp7.xml><?xml version="1.0" encoding="utf-8"?>
<formControlPr xmlns="http://schemas.microsoft.com/office/spreadsheetml/2009/9/main" objectType="Drop" dropLines="7" dropStyle="combo" dx="25" fmlaLink="$C$353" fmlaRange="$B$460:$B$466" noThreeD="1" sel="1" val="0"/>
</file>

<file path=xl/ctrlProps/ctrlProp8.xml><?xml version="1.0" encoding="utf-8"?>
<formControlPr xmlns="http://schemas.microsoft.com/office/spreadsheetml/2009/9/main" objectType="CheckBox" fmlaLink="$C$370" lockText="1" noThreeD="1"/>
</file>

<file path=xl/ctrlProps/ctrlProp9.xml><?xml version="1.0" encoding="utf-8"?>
<formControlPr xmlns="http://schemas.microsoft.com/office/spreadsheetml/2009/9/main" objectType="Drop" dropLines="7" dropStyle="combo" dx="25" fmlaLink="$C$343" fmlaRange="$B$351:$B$357"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jsafirc.com/"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8825</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5443</xdr:colOff>
          <xdr:row>258</xdr:row>
          <xdr:rowOff>5443</xdr:rowOff>
        </xdr:from>
        <xdr:to>
          <xdr:col>4</xdr:col>
          <xdr:colOff>484414</xdr:colOff>
          <xdr:row>259</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293914</xdr:colOff>
          <xdr:row>156</xdr:row>
          <xdr:rowOff>0</xdr:rowOff>
        </xdr:from>
        <xdr:to>
          <xdr:col>6</xdr:col>
          <xdr:colOff>1240971</xdr:colOff>
          <xdr:row>156</xdr:row>
          <xdr:rowOff>239486</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5443</xdr:rowOff>
        </xdr:from>
        <xdr:to>
          <xdr:col>3</xdr:col>
          <xdr:colOff>522514</xdr:colOff>
          <xdr:row>163</xdr:row>
          <xdr:rowOff>217714</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903514</xdr:colOff>
          <xdr:row>179</xdr:row>
          <xdr:rowOff>10886</xdr:rowOff>
        </xdr:from>
        <xdr:to>
          <xdr:col>2</xdr:col>
          <xdr:colOff>462643</xdr:colOff>
          <xdr:row>179</xdr:row>
          <xdr:rowOff>223157</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908957</xdr:colOff>
          <xdr:row>181</xdr:row>
          <xdr:rowOff>38100</xdr:rowOff>
        </xdr:from>
        <xdr:to>
          <xdr:col>4</xdr:col>
          <xdr:colOff>81643</xdr:colOff>
          <xdr:row>181</xdr:row>
          <xdr:rowOff>234043</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161</xdr:row>
          <xdr:rowOff>32657</xdr:rowOff>
        </xdr:from>
        <xdr:to>
          <xdr:col>3</xdr:col>
          <xdr:colOff>555171</xdr:colOff>
          <xdr:row>162</xdr:row>
          <xdr:rowOff>27214</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745671</xdr:colOff>
          <xdr:row>161</xdr:row>
          <xdr:rowOff>21771</xdr:rowOff>
        </xdr:from>
        <xdr:to>
          <xdr:col>6</xdr:col>
          <xdr:colOff>370114</xdr:colOff>
          <xdr:row>162</xdr:row>
          <xdr:rowOff>21771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527957</xdr:colOff>
          <xdr:row>242</xdr:row>
          <xdr:rowOff>0</xdr:rowOff>
        </xdr:from>
        <xdr:to>
          <xdr:col>4</xdr:col>
          <xdr:colOff>223157</xdr:colOff>
          <xdr:row>243</xdr:row>
          <xdr:rowOff>43543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67</xdr:row>
          <xdr:rowOff>10886</xdr:rowOff>
        </xdr:from>
        <xdr:to>
          <xdr:col>6</xdr:col>
          <xdr:colOff>783771</xdr:colOff>
          <xdr:row>68</xdr:row>
          <xdr:rowOff>5443</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5443</xdr:colOff>
          <xdr:row>69</xdr:row>
          <xdr:rowOff>32657</xdr:rowOff>
        </xdr:from>
        <xdr:to>
          <xdr:col>5</xdr:col>
          <xdr:colOff>555171</xdr:colOff>
          <xdr:row>69</xdr:row>
          <xdr:rowOff>234043</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560614</xdr:colOff>
          <xdr:row>73</xdr:row>
          <xdr:rowOff>223157</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560614</xdr:colOff>
          <xdr:row>74</xdr:row>
          <xdr:rowOff>217714</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555171</xdr:colOff>
          <xdr:row>75</xdr:row>
          <xdr:rowOff>223157</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571500</xdr:colOff>
          <xdr:row>72</xdr:row>
          <xdr:rowOff>27214</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65314</xdr:rowOff>
        </xdr:from>
        <xdr:to>
          <xdr:col>5</xdr:col>
          <xdr:colOff>560614</xdr:colOff>
          <xdr:row>72</xdr:row>
          <xdr:rowOff>261257</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5443</xdr:colOff>
          <xdr:row>70</xdr:row>
          <xdr:rowOff>32657</xdr:rowOff>
        </xdr:from>
        <xdr:to>
          <xdr:col>5</xdr:col>
          <xdr:colOff>544286</xdr:colOff>
          <xdr:row>70</xdr:row>
          <xdr:rowOff>234043</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947057</xdr:colOff>
          <xdr:row>76</xdr:row>
          <xdr:rowOff>195943</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32657</xdr:colOff>
          <xdr:row>197</xdr:row>
          <xdr:rowOff>0</xdr:rowOff>
        </xdr:from>
        <xdr:to>
          <xdr:col>4</xdr:col>
          <xdr:colOff>419100</xdr:colOff>
          <xdr:row>197</xdr:row>
          <xdr:rowOff>195943</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27214</xdr:colOff>
          <xdr:row>196</xdr:row>
          <xdr:rowOff>195943</xdr:rowOff>
        </xdr:from>
        <xdr:to>
          <xdr:col>1</xdr:col>
          <xdr:colOff>1638300</xdr:colOff>
          <xdr:row>197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32657</xdr:colOff>
          <xdr:row>196</xdr:row>
          <xdr:rowOff>195943</xdr:rowOff>
        </xdr:from>
        <xdr:to>
          <xdr:col>6</xdr:col>
          <xdr:colOff>794657</xdr:colOff>
          <xdr:row>197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5443</xdr:rowOff>
        </xdr:from>
        <xdr:to>
          <xdr:col>5</xdr:col>
          <xdr:colOff>767443</xdr:colOff>
          <xdr:row>171</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484414</xdr:colOff>
          <xdr:row>2</xdr:row>
          <xdr:rowOff>32657</xdr:rowOff>
        </xdr:from>
        <xdr:to>
          <xdr:col>6</xdr:col>
          <xdr:colOff>865414</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32657</xdr:colOff>
          <xdr:row>262</xdr:row>
          <xdr:rowOff>0</xdr:rowOff>
        </xdr:from>
        <xdr:to>
          <xdr:col>4</xdr:col>
          <xdr:colOff>527957</xdr:colOff>
          <xdr:row>262</xdr:row>
          <xdr:rowOff>195943</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263</xdr:row>
          <xdr:rowOff>32657</xdr:rowOff>
        </xdr:from>
        <xdr:to>
          <xdr:col>4</xdr:col>
          <xdr:colOff>522514</xdr:colOff>
          <xdr:row>263</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65314</xdr:colOff>
          <xdr:row>219</xdr:row>
          <xdr:rowOff>65314</xdr:rowOff>
        </xdr:from>
        <xdr:to>
          <xdr:col>7</xdr:col>
          <xdr:colOff>136071</xdr:colOff>
          <xdr:row>220</xdr:row>
          <xdr:rowOff>38100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489857</xdr:colOff>
          <xdr:row>62</xdr:row>
          <xdr:rowOff>185057</xdr:rowOff>
        </xdr:from>
        <xdr:to>
          <xdr:col>4</xdr:col>
          <xdr:colOff>21771</xdr:colOff>
          <xdr:row>64</xdr:row>
          <xdr:rowOff>5443</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62</xdr:row>
          <xdr:rowOff>185057</xdr:rowOff>
        </xdr:from>
        <xdr:to>
          <xdr:col>6</xdr:col>
          <xdr:colOff>1246414</xdr:colOff>
          <xdr:row>64</xdr:row>
          <xdr:rowOff>5443</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631371</xdr:colOff>
          <xdr:row>199</xdr:row>
          <xdr:rowOff>65314</xdr:rowOff>
        </xdr:from>
        <xdr:to>
          <xdr:col>5</xdr:col>
          <xdr:colOff>805543</xdr:colOff>
          <xdr:row>200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1632857</xdr:colOff>
          <xdr:row>56</xdr:row>
          <xdr:rowOff>38100</xdr:rowOff>
        </xdr:from>
        <xdr:to>
          <xdr:col>2</xdr:col>
          <xdr:colOff>538843</xdr:colOff>
          <xdr:row>56</xdr:row>
          <xdr:rowOff>234043</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201</xdr:row>
          <xdr:rowOff>10886</xdr:rowOff>
        </xdr:from>
        <xdr:to>
          <xdr:col>4</xdr:col>
          <xdr:colOff>364671</xdr:colOff>
          <xdr:row>201</xdr:row>
          <xdr:rowOff>255814</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38100</xdr:rowOff>
        </xdr:from>
        <xdr:to>
          <xdr:col>5</xdr:col>
          <xdr:colOff>478971</xdr:colOff>
          <xdr:row>168</xdr:row>
          <xdr:rowOff>255814</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159</xdr:row>
          <xdr:rowOff>32657</xdr:rowOff>
        </xdr:from>
        <xdr:to>
          <xdr:col>4</xdr:col>
          <xdr:colOff>598714</xdr:colOff>
          <xdr:row>160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32657</xdr:colOff>
          <xdr:row>183</xdr:row>
          <xdr:rowOff>5443</xdr:rowOff>
        </xdr:from>
        <xdr:to>
          <xdr:col>3</xdr:col>
          <xdr:colOff>163286</xdr:colOff>
          <xdr:row>183</xdr:row>
          <xdr:rowOff>223157</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1398814</xdr:colOff>
          <xdr:row>227</xdr:row>
          <xdr:rowOff>0</xdr:rowOff>
        </xdr:from>
        <xdr:to>
          <xdr:col>2</xdr:col>
          <xdr:colOff>353786</xdr:colOff>
          <xdr:row>228</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669471</xdr:colOff>
          <xdr:row>223</xdr:row>
          <xdr:rowOff>27214</xdr:rowOff>
        </xdr:from>
        <xdr:to>
          <xdr:col>3</xdr:col>
          <xdr:colOff>141514</xdr:colOff>
          <xdr:row>224</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223</xdr:row>
          <xdr:rowOff>38100</xdr:rowOff>
        </xdr:from>
        <xdr:to>
          <xdr:col>6</xdr:col>
          <xdr:colOff>674914</xdr:colOff>
          <xdr:row>224</xdr:row>
          <xdr:rowOff>70757</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188</xdr:row>
          <xdr:rowOff>157843</xdr:rowOff>
        </xdr:from>
        <xdr:to>
          <xdr:col>5</xdr:col>
          <xdr:colOff>745671</xdr:colOff>
          <xdr:row>189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208</xdr:row>
          <xdr:rowOff>32657</xdr:rowOff>
        </xdr:from>
        <xdr:to>
          <xdr:col>3</xdr:col>
          <xdr:colOff>174171</xdr:colOff>
          <xdr:row>209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257</xdr:row>
          <xdr:rowOff>5443</xdr:rowOff>
        </xdr:from>
        <xdr:to>
          <xdr:col>4</xdr:col>
          <xdr:colOff>489857</xdr:colOff>
          <xdr:row>258</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5443</xdr:colOff>
          <xdr:row>280</xdr:row>
          <xdr:rowOff>5443</xdr:rowOff>
        </xdr:from>
        <xdr:to>
          <xdr:col>6</xdr:col>
          <xdr:colOff>1251857</xdr:colOff>
          <xdr:row>280</xdr:row>
          <xdr:rowOff>201386</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5443</xdr:colOff>
          <xdr:row>227</xdr:row>
          <xdr:rowOff>0</xdr:rowOff>
        </xdr:from>
        <xdr:to>
          <xdr:col>6</xdr:col>
          <xdr:colOff>38100</xdr:colOff>
          <xdr:row>228</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1398814</xdr:colOff>
          <xdr:row>228</xdr:row>
          <xdr:rowOff>0</xdr:rowOff>
        </xdr:from>
        <xdr:to>
          <xdr:col>2</xdr:col>
          <xdr:colOff>353786</xdr:colOff>
          <xdr:row>229</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1398814</xdr:colOff>
          <xdr:row>229</xdr:row>
          <xdr:rowOff>0</xdr:rowOff>
        </xdr:from>
        <xdr:to>
          <xdr:col>2</xdr:col>
          <xdr:colOff>353786</xdr:colOff>
          <xdr:row>230</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239486</xdr:colOff>
          <xdr:row>29</xdr:row>
          <xdr:rowOff>108857</xdr:rowOff>
        </xdr:from>
        <xdr:to>
          <xdr:col>6</xdr:col>
          <xdr:colOff>1507671</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484414</xdr:colOff>
          <xdr:row>181</xdr:row>
          <xdr:rowOff>10886</xdr:rowOff>
        </xdr:from>
        <xdr:to>
          <xdr:col>6</xdr:col>
          <xdr:colOff>1001486</xdr:colOff>
          <xdr:row>181</xdr:row>
          <xdr:rowOff>212271</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43543</xdr:rowOff>
        </xdr:from>
        <xdr:to>
          <xdr:col>4</xdr:col>
          <xdr:colOff>353786</xdr:colOff>
          <xdr:row>203</xdr:row>
          <xdr:rowOff>272143</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353786</xdr:colOff>
          <xdr:row>206</xdr:row>
          <xdr:rowOff>223157</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288</xdr:row>
          <xdr:rowOff>5443</xdr:rowOff>
        </xdr:from>
        <xdr:to>
          <xdr:col>5</xdr:col>
          <xdr:colOff>734786</xdr:colOff>
          <xdr:row>288</xdr:row>
          <xdr:rowOff>228600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288471</xdr:colOff>
          <xdr:row>157</xdr:row>
          <xdr:rowOff>38100</xdr:rowOff>
        </xdr:from>
        <xdr:to>
          <xdr:col>5</xdr:col>
          <xdr:colOff>299357</xdr:colOff>
          <xdr:row>157</xdr:row>
          <xdr:rowOff>255814</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5443</xdr:colOff>
          <xdr:row>12</xdr:row>
          <xdr:rowOff>5443</xdr:rowOff>
        </xdr:from>
        <xdr:to>
          <xdr:col>6</xdr:col>
          <xdr:colOff>1251857</xdr:colOff>
          <xdr:row>12</xdr:row>
          <xdr:rowOff>201386</xdr:rowOff>
        </xdr:to>
        <xdr:sp macro="" textlink="">
          <xdr:nvSpPr>
            <xdr:cNvPr id="1912" name="Drop Dow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21771</xdr:colOff>
          <xdr:row>115</xdr:row>
          <xdr:rowOff>0</xdr:rowOff>
        </xdr:from>
        <xdr:to>
          <xdr:col>6</xdr:col>
          <xdr:colOff>0</xdr:colOff>
          <xdr:row>115</xdr:row>
          <xdr:rowOff>217714</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7</xdr:col>
      <xdr:colOff>0</xdr:colOff>
      <xdr:row>0</xdr:row>
      <xdr:rowOff>0</xdr:rowOff>
    </xdr:from>
    <xdr:to>
      <xdr:col>7</xdr:col>
      <xdr:colOff>988968</xdr:colOff>
      <xdr:row>2</xdr:row>
      <xdr:rowOff>43316</xdr:rowOff>
    </xdr:to>
    <xdr:pic>
      <xdr:nvPicPr>
        <xdr:cNvPr id="2" name="図 1">
          <a:hlinkClick xmlns:r="http://schemas.openxmlformats.org/officeDocument/2006/relationships" r:id="rId2"/>
          <a:extLst>
            <a:ext uri="{FF2B5EF4-FFF2-40B4-BE49-F238E27FC236}">
              <a16:creationId xmlns:a16="http://schemas.microsoft.com/office/drawing/2014/main" id="{DAD21D63-9A0D-4ED9-B552-529724605EC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9945" y="0"/>
          <a:ext cx="988968" cy="923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109808" cy="1312740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hyperlink" Target="https://ircrating.org/irc-certificate/measurement/" TargetMode="External"/><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ircrating.org/irc-certificate/measurement/"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37"/>
  <sheetViews>
    <sheetView showGridLines="0" tabSelected="1" zoomScale="110" zoomScaleNormal="110" workbookViewId="0">
      <selection activeCell="H12" sqref="H12"/>
    </sheetView>
  </sheetViews>
  <sheetFormatPr defaultColWidth="9.15234375" defaultRowHeight="19.5" customHeight="1"/>
  <cols>
    <col min="1" max="1" width="7.53515625" style="125" bestFit="1" customWidth="1"/>
    <col min="2" max="2" width="28.69140625" style="17" customWidth="1"/>
    <col min="3" max="3" width="11.23046875" style="17" customWidth="1"/>
    <col min="4" max="4" width="8.84375" style="17" customWidth="1"/>
    <col min="5" max="5" width="10.921875" style="17" customWidth="1"/>
    <col min="6" max="6" width="13.4609375" style="17" customWidth="1"/>
    <col min="7" max="7" width="25.84375" style="17" customWidth="1"/>
    <col min="8" max="8" width="46.4609375" style="17" customWidth="1"/>
    <col min="9" max="9" width="2.15234375" style="17" customWidth="1"/>
    <col min="10" max="10" width="20.15234375" style="121" customWidth="1"/>
    <col min="11" max="14" width="9.15234375" style="17"/>
    <col min="15" max="15" width="11.15234375" style="17" customWidth="1"/>
    <col min="16" max="16384" width="9.15234375" style="17"/>
  </cols>
  <sheetData>
    <row r="1" spans="1:18" ht="50.25" customHeight="1">
      <c r="A1" s="571"/>
      <c r="B1" s="740" t="str">
        <f>'Lang Header'!D1</f>
        <v>IRCレーティング申告書</v>
      </c>
      <c r="C1" s="741"/>
      <c r="D1" s="741"/>
      <c r="E1" s="741"/>
      <c r="F1" s="741"/>
      <c r="G1" s="572">
        <v>2026</v>
      </c>
      <c r="H1" s="125"/>
      <c r="J1" s="735" t="s">
        <v>5666</v>
      </c>
      <c r="K1" s="735"/>
      <c r="L1" s="343"/>
    </row>
    <row r="2" spans="1:18" ht="19.5" customHeight="1">
      <c r="C2" s="679"/>
      <c r="D2" s="679"/>
      <c r="E2" s="679"/>
      <c r="F2" s="679"/>
      <c r="G2" s="679"/>
      <c r="H2" s="198"/>
      <c r="I2" s="123"/>
      <c r="J2" s="18"/>
      <c r="L2" s="343"/>
    </row>
    <row r="3" spans="1:18" ht="19.5" customHeight="1">
      <c r="C3" s="679" t="str">
        <f>'Lang Header'!F1</f>
        <v>言語を選んでください：</v>
      </c>
      <c r="D3" s="679"/>
      <c r="E3" s="679"/>
      <c r="F3" s="679"/>
      <c r="G3" s="125"/>
      <c r="J3" s="18"/>
      <c r="L3" s="343"/>
      <c r="P3" s="101"/>
      <c r="Q3" s="101"/>
    </row>
    <row r="4" spans="1:18" ht="19.5" customHeight="1">
      <c r="B4" s="763"/>
      <c r="C4" s="763"/>
      <c r="D4" s="763"/>
      <c r="E4" s="763"/>
      <c r="F4" s="763"/>
      <c r="G4" s="763"/>
      <c r="H4" s="385"/>
      <c r="J4" s="18"/>
      <c r="P4" s="99"/>
      <c r="Q4" s="99"/>
      <c r="R4" s="99"/>
    </row>
    <row r="5" spans="1:18" ht="19.5" customHeight="1">
      <c r="B5" s="351"/>
      <c r="C5" s="351"/>
      <c r="D5" s="755"/>
      <c r="E5" s="755"/>
      <c r="F5" s="755"/>
      <c r="G5" s="755"/>
      <c r="H5" s="385"/>
      <c r="P5" s="99"/>
      <c r="Q5" s="99"/>
      <c r="R5" s="99"/>
    </row>
    <row r="6" spans="1:18" ht="19.5" customHeight="1">
      <c r="A6" s="404"/>
      <c r="B6" s="757"/>
      <c r="C6" s="757"/>
      <c r="D6" s="757"/>
      <c r="E6" s="757"/>
      <c r="F6" s="757"/>
      <c r="G6" s="757"/>
      <c r="P6" s="99"/>
      <c r="Q6" s="99"/>
      <c r="R6" s="99"/>
    </row>
    <row r="7" spans="1:18" ht="19.5" customHeight="1">
      <c r="B7" s="756" t="str">
        <f>'Lang Header'!P1</f>
        <v>ルールやその他の専門情報は、IRCウェブサイト、www.jsafirc.comから入手できます。</v>
      </c>
      <c r="C7" s="756"/>
      <c r="D7" s="756"/>
      <c r="E7" s="756"/>
      <c r="F7" s="756"/>
      <c r="G7" s="756"/>
      <c r="H7" s="386"/>
      <c r="P7" s="99"/>
      <c r="Q7" s="99"/>
    </row>
    <row r="8" spans="1:18" ht="19.5" customHeight="1">
      <c r="B8" s="753" t="s">
        <v>5439</v>
      </c>
      <c r="C8" s="754"/>
      <c r="D8" s="754"/>
      <c r="E8" s="754"/>
      <c r="F8" s="754"/>
      <c r="G8" s="754"/>
      <c r="H8" s="386"/>
      <c r="P8" s="100"/>
      <c r="Q8" s="100"/>
      <c r="R8" s="99"/>
    </row>
    <row r="9" spans="1:18" ht="19.5" customHeight="1">
      <c r="B9" s="384"/>
      <c r="C9" s="384"/>
      <c r="D9" s="384"/>
      <c r="E9" s="384"/>
      <c r="F9" s="384"/>
      <c r="G9" s="384"/>
      <c r="H9" s="386"/>
      <c r="P9" s="100"/>
      <c r="Q9" s="100"/>
      <c r="R9" s="99"/>
    </row>
    <row r="10" spans="1:18" ht="19.5" customHeight="1">
      <c r="B10" s="579" t="str">
        <f>'Lang Other'!H41</f>
        <v>Event name and rating deadline</v>
      </c>
      <c r="C10" s="580"/>
      <c r="D10" s="766"/>
      <c r="E10" s="767"/>
      <c r="F10" s="767"/>
      <c r="G10" s="768"/>
      <c r="H10" s="386"/>
      <c r="P10" s="100"/>
      <c r="Q10" s="100"/>
      <c r="R10" s="99"/>
    </row>
    <row r="11" spans="1:18" ht="19.5" customHeight="1">
      <c r="B11" s="764" t="str">
        <f>'Lang Other'!I41</f>
        <v>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v>
      </c>
      <c r="C11" s="764"/>
      <c r="D11" s="764"/>
      <c r="E11" s="764"/>
      <c r="F11" s="764"/>
      <c r="G11" s="764"/>
      <c r="H11" s="386"/>
      <c r="P11" s="100"/>
      <c r="Q11" s="100"/>
      <c r="R11" s="99"/>
    </row>
    <row r="12" spans="1:18" ht="19.5" customHeight="1">
      <c r="B12" s="764"/>
      <c r="C12" s="764"/>
      <c r="D12" s="764"/>
      <c r="E12" s="764"/>
      <c r="F12" s="764"/>
      <c r="G12" s="764"/>
      <c r="H12" s="386"/>
      <c r="P12" s="100"/>
      <c r="Q12" s="100"/>
      <c r="R12" s="99"/>
    </row>
    <row r="13" spans="1:18" ht="19.5" customHeight="1">
      <c r="B13" s="765" t="str">
        <f>'Lang Pay'!K25</f>
        <v xml:space="preserve">Expedited processing guaranteed 5 working days required (fee is doubled) </v>
      </c>
      <c r="C13" s="765"/>
      <c r="D13" s="765"/>
      <c r="E13" s="765"/>
      <c r="F13" s="765"/>
      <c r="G13" s="577"/>
      <c r="H13" s="578" t="str">
        <f>IF(C387=2,"EXPEDITED","")</f>
        <v/>
      </c>
      <c r="P13" s="100"/>
      <c r="Q13" s="100"/>
      <c r="R13" s="99"/>
    </row>
    <row r="14" spans="1:18" ht="17.600000000000001">
      <c r="B14" s="770" t="str">
        <f>'Lang Boat'!D1</f>
        <v>パート1 - すべてのボート</v>
      </c>
      <c r="C14" s="770"/>
      <c r="D14" s="770"/>
      <c r="E14" s="770"/>
      <c r="F14" s="770"/>
      <c r="G14" s="770"/>
      <c r="H14" s="387"/>
      <c r="J14" s="742"/>
      <c r="K14" s="743"/>
      <c r="L14" s="743"/>
      <c r="M14" s="743"/>
      <c r="N14" s="743"/>
      <c r="O14" s="743"/>
      <c r="P14" s="100"/>
      <c r="Q14" s="100"/>
      <c r="R14" s="99"/>
    </row>
    <row r="15" spans="1:18" ht="17.600000000000001">
      <c r="A15" s="449"/>
      <c r="B15" s="205"/>
      <c r="C15" s="363"/>
      <c r="D15" s="363"/>
      <c r="E15" s="363"/>
      <c r="F15" s="363"/>
      <c r="G15" s="363"/>
      <c r="H15" s="387"/>
      <c r="J15" s="102"/>
      <c r="K15" s="99"/>
      <c r="L15" s="99"/>
      <c r="M15" s="99"/>
      <c r="N15" s="99"/>
      <c r="O15" s="99"/>
      <c r="P15" s="100"/>
      <c r="Q15" s="100"/>
      <c r="R15" s="99"/>
    </row>
    <row r="16" spans="1:18" ht="15" customHeight="1">
      <c r="A16" s="449"/>
      <c r="B16" s="447" t="str">
        <f>'Lang Boat'!G1</f>
        <v>Yacht Name</v>
      </c>
      <c r="C16" s="769"/>
      <c r="D16" s="769"/>
      <c r="E16" s="769"/>
      <c r="F16" s="769"/>
      <c r="G16" s="769"/>
      <c r="J16" s="772"/>
      <c r="K16" s="773"/>
      <c r="L16" s="773"/>
      <c r="M16" s="773"/>
      <c r="N16" s="773"/>
      <c r="O16" s="773"/>
      <c r="P16" s="100"/>
      <c r="Q16" s="100"/>
      <c r="R16" s="99"/>
    </row>
    <row r="17" spans="1:18" ht="15" customHeight="1">
      <c r="A17" s="449"/>
      <c r="B17" s="447" t="str">
        <f>'Lang Boat'!H1</f>
        <v>Sail number</v>
      </c>
      <c r="C17" s="658"/>
      <c r="D17" s="660"/>
      <c r="E17" s="758" t="str">
        <f>'Lang Boat'!U1</f>
        <v>文字と数字の間にスペース不要</v>
      </c>
      <c r="F17" s="759"/>
      <c r="G17" s="759"/>
      <c r="J17" s="773"/>
      <c r="K17" s="773"/>
      <c r="L17" s="773"/>
      <c r="M17" s="773"/>
      <c r="N17" s="773"/>
      <c r="O17" s="773"/>
      <c r="P17" s="100"/>
      <c r="Q17" s="100"/>
      <c r="R17" s="99"/>
    </row>
    <row r="18" spans="1:18" ht="15" customHeight="1">
      <c r="A18" s="449"/>
      <c r="B18" s="309" t="str">
        <f>'Lang Boat'!R1</f>
        <v>Age  date</v>
      </c>
      <c r="C18" s="193"/>
      <c r="D18" s="4" t="str">
        <f>'Lang Boat'!Q1</f>
        <v>(YYYY)</v>
      </c>
      <c r="E18" s="17" t="str">
        <f>'Lang Boat'!W1</f>
        <v>初年度もしくは改造後の進水年</v>
      </c>
      <c r="K18" s="100"/>
      <c r="L18" s="100"/>
      <c r="M18" s="100"/>
      <c r="N18" s="100"/>
      <c r="O18" s="100"/>
      <c r="P18" s="99"/>
      <c r="Q18" s="99"/>
    </row>
    <row r="19" spans="1:18" ht="15" customHeight="1">
      <c r="A19" s="449"/>
      <c r="B19" s="18" t="str">
        <f>'Lang Boat'!K1</f>
        <v>その証書番号</v>
      </c>
      <c r="C19" s="388"/>
      <c r="D19" s="4" t="str">
        <f>'Lang Boat'!J1</f>
        <v>以前にIRCもしくはCHSの証書が発効されている場合</v>
      </c>
      <c r="F19" s="4"/>
      <c r="G19" s="4"/>
      <c r="J19" s="762"/>
      <c r="K19" s="762"/>
      <c r="L19" s="762"/>
      <c r="M19" s="762"/>
      <c r="N19" s="762"/>
      <c r="O19" s="762"/>
      <c r="P19" s="99"/>
      <c r="Q19" s="99"/>
    </row>
    <row r="20" spans="1:18" ht="15" customHeight="1">
      <c r="A20" s="13"/>
      <c r="B20" s="18"/>
      <c r="C20" s="448"/>
      <c r="D20" s="4"/>
      <c r="F20" s="4"/>
      <c r="G20" s="4"/>
      <c r="J20" s="762"/>
      <c r="K20" s="762"/>
      <c r="L20" s="762"/>
      <c r="M20" s="762"/>
      <c r="N20" s="762"/>
      <c r="O20" s="762"/>
      <c r="P20" s="99"/>
      <c r="Q20" s="99"/>
    </row>
    <row r="21" spans="1:18" ht="17.25" customHeight="1">
      <c r="A21" s="351" t="s">
        <v>4505</v>
      </c>
      <c r="B21" s="657" t="str">
        <f>'Lang Boat'!D11</f>
        <v>DESIGN and STANDARD HULLS</v>
      </c>
      <c r="C21" s="657"/>
      <c r="D21" s="657"/>
      <c r="E21" s="657"/>
      <c r="F21" s="657"/>
      <c r="G21" s="657"/>
      <c r="J21" s="762"/>
      <c r="K21" s="762"/>
      <c r="L21" s="762"/>
      <c r="M21" s="762"/>
      <c r="N21" s="762"/>
      <c r="O21" s="762"/>
      <c r="P21" s="100"/>
      <c r="Q21" s="100"/>
      <c r="R21" s="99"/>
    </row>
    <row r="22" spans="1:18" ht="12.45">
      <c r="A22" s="351" t="s">
        <v>4725</v>
      </c>
      <c r="B22" s="678" t="str">
        <f>'Lang Hull'!D1</f>
        <v>HULLS  プロダクションボート？スタンダードハルデータに関しての解説は下の青いタグを参照のこと</v>
      </c>
      <c r="C22" s="678"/>
      <c r="D22" s="678"/>
      <c r="E22" s="678"/>
      <c r="F22" s="678"/>
      <c r="G22" s="678"/>
      <c r="J22" s="762"/>
      <c r="K22" s="762"/>
      <c r="L22" s="762"/>
      <c r="M22" s="762"/>
      <c r="N22" s="762"/>
      <c r="O22" s="762"/>
      <c r="P22" s="99"/>
      <c r="Q22" s="99"/>
    </row>
    <row r="23" spans="1:18" ht="12.75" customHeight="1">
      <c r="A23" s="449"/>
      <c r="B23" s="821" t="str">
        <f>'Lang Boat'!E11</f>
        <v>These designs may use use simplied form</v>
      </c>
      <c r="C23" s="821"/>
      <c r="D23" s="821"/>
      <c r="E23" s="821"/>
      <c r="F23" s="821"/>
      <c r="G23" s="821"/>
      <c r="J23" s="762"/>
      <c r="K23" s="762"/>
      <c r="L23" s="762"/>
      <c r="M23" s="762"/>
      <c r="N23" s="762"/>
      <c r="O23" s="762"/>
      <c r="P23" s="99"/>
      <c r="Q23" s="99"/>
    </row>
    <row r="24" spans="1:18" ht="12.75" customHeight="1">
      <c r="A24" s="449"/>
      <c r="B24" s="10"/>
      <c r="C24" s="10"/>
      <c r="D24" s="10"/>
      <c r="E24" s="10"/>
      <c r="F24" s="10"/>
      <c r="G24" s="10"/>
      <c r="J24" s="350"/>
      <c r="K24" s="350"/>
      <c r="L24" s="350"/>
      <c r="M24" s="350"/>
      <c r="N24" s="350"/>
      <c r="O24" s="350"/>
      <c r="P24" s="99"/>
      <c r="Q24" s="99"/>
    </row>
    <row r="25" spans="1:18" ht="15" customHeight="1">
      <c r="A25" s="449"/>
      <c r="B25" s="674" t="str">
        <f>'Lang Hull'!K38</f>
        <v>スタンダードハルの有無は、下のリストでチェックできます：</v>
      </c>
      <c r="C25" s="674"/>
      <c r="D25" s="674"/>
      <c r="E25" s="674"/>
      <c r="F25" s="674"/>
      <c r="G25" s="674"/>
      <c r="J25" s="350"/>
      <c r="K25" s="186"/>
      <c r="L25" s="186"/>
      <c r="M25" s="186"/>
      <c r="N25" s="186"/>
      <c r="O25" s="186"/>
      <c r="P25" s="99"/>
      <c r="Q25" s="99"/>
    </row>
    <row r="26" spans="1:18" ht="25.5" customHeight="1">
      <c r="A26" s="449"/>
      <c r="B26" s="771" t="str">
        <f>'Lang Hull'!N38</f>
        <v>ビルダー/デザイナーを選ぶ, 最初にボックスをクリック：</v>
      </c>
      <c r="C26" s="771"/>
      <c r="D26" s="771"/>
      <c r="E26" s="771"/>
      <c r="F26" s="771"/>
      <c r="G26" s="771"/>
      <c r="H26" s="816" t="str">
        <f>'Lang Hull'!M38</f>
        <v>If your design is not included but you think it should be, please contact your Rule Authority</v>
      </c>
      <c r="I26" s="816"/>
      <c r="J26" s="816"/>
      <c r="K26" s="816"/>
      <c r="L26" s="186"/>
      <c r="M26" s="186"/>
      <c r="N26" s="186"/>
      <c r="O26" s="186"/>
      <c r="P26" s="99"/>
      <c r="Q26" s="99"/>
    </row>
    <row r="27" spans="1:18" ht="17.25" customHeight="1">
      <c r="A27" s="449"/>
      <c r="B27" s="783" t="s">
        <v>1447</v>
      </c>
      <c r="C27" s="784"/>
      <c r="D27" s="784"/>
      <c r="E27" s="785"/>
      <c r="H27" s="390"/>
      <c r="J27" s="350"/>
      <c r="K27" s="186"/>
      <c r="L27" s="186"/>
      <c r="M27" s="186"/>
      <c r="N27" s="186"/>
      <c r="O27" s="186"/>
      <c r="P27" s="99"/>
      <c r="Q27" s="99"/>
    </row>
    <row r="28" spans="1:18" ht="17.25" customHeight="1">
      <c r="A28" s="449"/>
      <c r="B28" s="771" t="str">
        <f>'Lang Hull'!O38</f>
        <v>モデル/喫水を選ぶ；最初にボックスをクリック：</v>
      </c>
      <c r="C28" s="771"/>
      <c r="D28" s="771"/>
      <c r="E28" s="771"/>
      <c r="F28" s="771"/>
      <c r="G28" s="771"/>
      <c r="H28" s="390"/>
      <c r="J28" s="350"/>
      <c r="K28" s="186"/>
      <c r="L28" s="186"/>
      <c r="M28" s="186"/>
      <c r="N28" s="186"/>
      <c r="O28" s="186"/>
      <c r="P28" s="99"/>
      <c r="Q28" s="99"/>
    </row>
    <row r="29" spans="1:18" ht="17.25" customHeight="1">
      <c r="A29" s="449"/>
      <c r="B29" s="828"/>
      <c r="C29" s="829"/>
      <c r="D29" s="829"/>
      <c r="E29" s="830"/>
      <c r="F29" s="391"/>
      <c r="G29" s="390"/>
      <c r="I29" s="350"/>
      <c r="J29" s="186"/>
      <c r="K29" s="186"/>
      <c r="L29" s="186"/>
      <c r="M29" s="186"/>
      <c r="N29" s="186"/>
      <c r="O29" s="99"/>
      <c r="P29" s="99"/>
    </row>
    <row r="30" spans="1:18" ht="12.75" customHeight="1">
      <c r="A30" s="449"/>
      <c r="B30" s="739" t="str">
        <f>'Lang Hull'!P38</f>
        <v>デザインがスタンダードリストにあった場合、スタンダードハルデータを使いますか？</v>
      </c>
      <c r="C30" s="739"/>
      <c r="D30" s="739"/>
      <c r="E30" s="739"/>
      <c r="F30" s="739"/>
      <c r="G30" s="392"/>
      <c r="J30" s="186"/>
      <c r="K30" s="186"/>
      <c r="L30" s="186"/>
      <c r="M30" s="186"/>
      <c r="N30" s="186"/>
      <c r="O30" s="186"/>
    </row>
    <row r="31" spans="1:18" ht="24.75" customHeight="1">
      <c r="A31" s="125">
        <v>13.5</v>
      </c>
      <c r="B31" s="739"/>
      <c r="C31" s="739"/>
      <c r="D31" s="739"/>
      <c r="E31" s="739"/>
      <c r="F31" s="739"/>
      <c r="G31" s="125"/>
      <c r="J31" s="760"/>
      <c r="K31" s="761"/>
      <c r="L31" s="761"/>
      <c r="M31" s="761"/>
      <c r="N31" s="761"/>
      <c r="O31" s="761"/>
    </row>
    <row r="32" spans="1:18" ht="17.25" customHeight="1">
      <c r="A32" s="449"/>
      <c r="B32" s="4" t="str">
        <f>'Lang Hull'!Q38</f>
        <v>YESの場合：以下の項目で、グレーのセルは記入不要です。それ以外の項目は全て記入して下さい。</v>
      </c>
      <c r="C32" s="348"/>
      <c r="D32" s="348"/>
      <c r="E32" s="348"/>
      <c r="F32" s="348"/>
      <c r="G32" s="348"/>
      <c r="J32" s="761"/>
      <c r="K32" s="761"/>
      <c r="L32" s="761"/>
      <c r="M32" s="761"/>
      <c r="N32" s="761"/>
      <c r="O32" s="761"/>
    </row>
    <row r="33" spans="1:18" ht="17.25" customHeight="1">
      <c r="A33" s="449"/>
      <c r="B33" s="809" t="str">
        <f>'Lang Hull'!R38</f>
        <v>NOの場合：通常通り申告して下さい。スタンダードデータを、特定のハル計測値に使いたい場合、該当する"情報元"欄に"use standard"と記入して下さい。</v>
      </c>
      <c r="C33" s="809"/>
      <c r="D33" s="809"/>
      <c r="E33" s="809"/>
      <c r="F33" s="809"/>
      <c r="G33" s="809"/>
      <c r="J33" s="815"/>
      <c r="K33" s="761"/>
      <c r="L33" s="761"/>
      <c r="M33" s="761"/>
      <c r="N33" s="761"/>
      <c r="O33" s="761"/>
    </row>
    <row r="34" spans="1:18" ht="17.25" customHeight="1">
      <c r="A34" s="449"/>
      <c r="B34" s="809"/>
      <c r="C34" s="809"/>
      <c r="D34" s="809"/>
      <c r="E34" s="809"/>
      <c r="F34" s="809"/>
      <c r="G34" s="809"/>
      <c r="J34" s="761"/>
      <c r="K34" s="761"/>
      <c r="L34" s="761"/>
      <c r="M34" s="761"/>
      <c r="N34" s="761"/>
      <c r="O34" s="761"/>
    </row>
    <row r="35" spans="1:18" ht="27" customHeight="1">
      <c r="A35" s="820"/>
      <c r="B35" s="739" t="str">
        <f>'Lang Boat'!X1</f>
        <v>もし貴艇が、上のリストにない場合、デザインクラス名他詳細を下に記入して下さい。</v>
      </c>
      <c r="C35" s="739"/>
      <c r="D35" s="739"/>
      <c r="E35" s="739"/>
      <c r="F35" s="739"/>
      <c r="G35" s="739"/>
      <c r="J35" s="761"/>
      <c r="K35" s="761"/>
      <c r="L35" s="761"/>
      <c r="M35" s="761"/>
      <c r="N35" s="761"/>
      <c r="O35" s="761"/>
      <c r="P35" s="100"/>
      <c r="Q35" s="100"/>
      <c r="R35" s="99"/>
    </row>
    <row r="36" spans="1:18" ht="15" customHeight="1">
      <c r="A36" s="820"/>
      <c r="B36" s="382" t="str">
        <f>'Lang Boat'!L1</f>
        <v>Design Class</v>
      </c>
      <c r="C36" s="833" t="str">
        <f>IF('Std hull dropdown'!C1608=0,"",'Std hull dropdown'!C1608)</f>
        <v/>
      </c>
      <c r="D36" s="834"/>
      <c r="E36" s="834"/>
      <c r="F36" s="834"/>
      <c r="G36" s="394" t="str">
        <f>'Lang Header'!M12</f>
        <v>eg.First 40, J97, Half Ton</v>
      </c>
      <c r="H36" s="393"/>
      <c r="J36" s="350"/>
      <c r="K36" s="186"/>
      <c r="L36" s="186"/>
      <c r="M36" s="186"/>
      <c r="N36" s="186"/>
      <c r="O36" s="186"/>
      <c r="P36" s="100"/>
      <c r="Q36" s="100"/>
      <c r="R36" s="99"/>
    </row>
    <row r="37" spans="1:18" ht="15" customHeight="1">
      <c r="A37" s="820"/>
      <c r="B37" s="4" t="str">
        <f>'Lang Boat'!M1</f>
        <v>Version</v>
      </c>
      <c r="C37" s="822"/>
      <c r="D37" s="823"/>
      <c r="E37" s="824"/>
      <c r="F37" s="831" t="str">
        <f>'Lang Header'!N12</f>
        <v>eg. Custom, wing keel, tall rig</v>
      </c>
      <c r="G37" s="832"/>
      <c r="H37" s="832"/>
      <c r="J37" s="186"/>
      <c r="K37" s="186"/>
      <c r="L37" s="186"/>
      <c r="M37" s="186"/>
      <c r="N37" s="186"/>
      <c r="O37" s="186"/>
      <c r="P37" s="100"/>
      <c r="Q37" s="100"/>
      <c r="R37" s="99"/>
    </row>
    <row r="38" spans="1:18" ht="15" customHeight="1">
      <c r="A38" s="820"/>
      <c r="B38" s="395" t="str">
        <f>'Lang Boat'!N1</f>
        <v>Hull No.</v>
      </c>
      <c r="C38" s="825"/>
      <c r="D38" s="826"/>
      <c r="E38" s="827"/>
      <c r="F38" s="354"/>
      <c r="G38" s="396"/>
      <c r="K38" s="409"/>
      <c r="L38" s="409"/>
      <c r="M38" s="409"/>
      <c r="N38" s="409"/>
      <c r="O38" s="409"/>
      <c r="P38" s="100"/>
      <c r="Q38" s="100"/>
      <c r="R38" s="99"/>
    </row>
    <row r="39" spans="1:18" ht="15" customHeight="1">
      <c r="A39" s="820"/>
      <c r="B39" s="395" t="str">
        <f>'Lang Boat'!S1</f>
        <v>Designer</v>
      </c>
      <c r="C39" s="738"/>
      <c r="D39" s="738"/>
      <c r="E39" s="738"/>
      <c r="F39" s="738"/>
      <c r="G39" s="738"/>
      <c r="J39" s="409"/>
      <c r="K39" s="409"/>
      <c r="L39" s="409"/>
      <c r="M39" s="409"/>
      <c r="N39" s="409"/>
      <c r="O39" s="409"/>
      <c r="P39" s="99"/>
      <c r="Q39" s="99"/>
    </row>
    <row r="40" spans="1:18" ht="15" customHeight="1">
      <c r="A40" s="820"/>
      <c r="B40" s="395" t="str">
        <f>'Lang Boat'!T1</f>
        <v>Builder</v>
      </c>
      <c r="C40" s="738"/>
      <c r="D40" s="738"/>
      <c r="E40" s="738"/>
      <c r="F40" s="738"/>
      <c r="G40" s="738"/>
      <c r="J40" s="409"/>
      <c r="K40" s="409"/>
      <c r="L40" s="409"/>
      <c r="M40" s="409"/>
      <c r="N40" s="409"/>
      <c r="O40" s="409"/>
      <c r="P40" s="99"/>
      <c r="Q40" s="99"/>
    </row>
    <row r="41" spans="1:18" ht="15" customHeight="1">
      <c r="A41" s="820"/>
      <c r="B41" s="4" t="str">
        <f>'Lang Boat'!P1</f>
        <v>Series date</v>
      </c>
      <c r="C41" s="194"/>
      <c r="D41" s="17" t="str">
        <f>'Lang Boat'!Q1</f>
        <v>(YYYY)</v>
      </c>
      <c r="E41" s="17" t="str">
        <f>'Lang Boat'!V1</f>
        <v>1号艇の進水年</v>
      </c>
      <c r="H41" s="207"/>
      <c r="P41" s="99"/>
      <c r="Q41" s="99"/>
      <c r="R41" s="99"/>
    </row>
    <row r="42" spans="1:18" ht="10.5" customHeight="1">
      <c r="J42" s="17"/>
      <c r="P42" s="99"/>
      <c r="Q42" s="99"/>
    </row>
    <row r="43" spans="1:18" ht="15.45">
      <c r="A43" s="351" t="s">
        <v>4505</v>
      </c>
      <c r="B43" s="657" t="str">
        <f>'Lang Hull'!U1</f>
        <v>ハルとアペンデージ</v>
      </c>
      <c r="C43" s="657"/>
      <c r="D43" s="657"/>
      <c r="E43" s="657"/>
      <c r="F43" s="657"/>
      <c r="G43" s="657"/>
      <c r="H43" s="207"/>
      <c r="J43" s="17"/>
      <c r="P43" s="99"/>
      <c r="Q43" s="99"/>
    </row>
    <row r="44" spans="1:18" ht="19.5" customHeight="1">
      <c r="A44" s="351" t="s">
        <v>4725</v>
      </c>
      <c r="B44" s="835" t="str">
        <f>IF(C410=2,'Lang Hull'!J48,'Lang Hull'!K48)</f>
        <v>NOT Standard Hull: Please complete Hull data</v>
      </c>
      <c r="C44" s="835"/>
      <c r="D44" s="835"/>
      <c r="E44" s="835"/>
      <c r="F44" s="835"/>
      <c r="G44" s="835"/>
      <c r="J44" s="17"/>
    </row>
    <row r="45" spans="1:18" ht="17.25" customHeight="1">
      <c r="B45" s="17" t="str">
        <f>'Lang Hull'!D15</f>
        <v>メートル、㎏の単位で</v>
      </c>
      <c r="C45" s="685" t="str">
        <f>'Lang Hull'!E15</f>
        <v>ｍや㎏は記入しない！</v>
      </c>
      <c r="D45" s="685"/>
      <c r="E45" s="685"/>
      <c r="F45" s="736" t="str">
        <f>'Lang Hull'!F15</f>
        <v>情報元</v>
      </c>
      <c r="G45" s="737"/>
      <c r="J45" s="17"/>
    </row>
    <row r="46" spans="1:18" ht="18.55" customHeight="1">
      <c r="F46" s="836" t="str">
        <f>'Lang Hull'!G15</f>
        <v>必ず記載</v>
      </c>
      <c r="G46" s="837"/>
      <c r="J46" s="17"/>
    </row>
    <row r="47" spans="1:18" ht="17.25" customHeight="1">
      <c r="B47" s="17" t="str">
        <f>'Lang Hull'!H15</f>
        <v>Hull Length</v>
      </c>
      <c r="C47" s="125" t="s">
        <v>3214</v>
      </c>
      <c r="D47" s="450"/>
      <c r="E47" s="14"/>
      <c r="F47" s="812"/>
      <c r="G47" s="812"/>
      <c r="H47" s="581" t="str">
        <f>'Lang Header'!L12</f>
        <v>計測の図式</v>
      </c>
      <c r="J47" s="17"/>
    </row>
    <row r="48" spans="1:18" ht="17.25" customHeight="1">
      <c r="A48" s="125">
        <v>18</v>
      </c>
      <c r="B48" s="17" t="str">
        <f>'Lang Hull'!I15</f>
        <v>Bow &amp; stern overhangs</v>
      </c>
      <c r="C48" s="125" t="s">
        <v>3782</v>
      </c>
      <c r="D48" s="450"/>
      <c r="F48" s="812" t="str">
        <f>IF($C$410=2,"Std Hull Data","")</f>
        <v/>
      </c>
      <c r="G48" s="812"/>
      <c r="H48" s="187"/>
      <c r="J48" s="17"/>
    </row>
    <row r="49" spans="1:10" ht="17.25" customHeight="1">
      <c r="B49" s="158" t="str">
        <f>'Lang Hull'!J15</f>
        <v>x &amp; h - バウの浮きがなければ0.00を入力</v>
      </c>
      <c r="C49" s="125" t="s">
        <v>3785</v>
      </c>
      <c r="D49" s="450"/>
      <c r="F49" s="812" t="str">
        <f>IF($C$410=2,"Std Hull Data","")</f>
        <v/>
      </c>
      <c r="G49" s="812"/>
      <c r="J49" s="17"/>
    </row>
    <row r="50" spans="1:10" ht="17.25" customHeight="1">
      <c r="C50" s="125" t="s">
        <v>3788</v>
      </c>
      <c r="D50" s="450"/>
      <c r="E50" s="356"/>
      <c r="F50" s="812" t="str">
        <f>IF($C$410=2,"Std Hull Data","")</f>
        <v/>
      </c>
      <c r="G50" s="812"/>
      <c r="J50" s="17"/>
    </row>
    <row r="51" spans="1:10" ht="17.25" customHeight="1">
      <c r="B51" s="11"/>
      <c r="C51" s="122" t="s">
        <v>3783</v>
      </c>
      <c r="D51" s="450"/>
      <c r="E51" s="356"/>
      <c r="F51" s="812" t="str">
        <f>IF($C$410=2,"Std Hull Data","")</f>
        <v/>
      </c>
      <c r="G51" s="812"/>
      <c r="J51" s="17"/>
    </row>
    <row r="52" spans="1:10" ht="17.25" customHeight="1">
      <c r="B52" s="11"/>
      <c r="C52" s="122" t="s">
        <v>3786</v>
      </c>
      <c r="D52" s="451"/>
      <c r="E52" s="357" t="str">
        <f>'Lang Hull'!K15</f>
        <v>yは常に必要</v>
      </c>
      <c r="F52" s="353"/>
      <c r="G52" s="12" t="str">
        <f>IF($C$410=2,"Std Hull Data","")</f>
        <v/>
      </c>
      <c r="H52" s="203"/>
      <c r="J52" s="17"/>
    </row>
    <row r="53" spans="1:10" ht="17.25" customHeight="1">
      <c r="B53" s="17" t="str">
        <f>'Lang Hull'!L15</f>
        <v>Waterline length</v>
      </c>
      <c r="C53" s="125" t="s">
        <v>3789</v>
      </c>
      <c r="D53" s="358">
        <f>D47-D48-D51</f>
        <v>0</v>
      </c>
      <c r="E53" s="685" t="str">
        <f>'Lang Hull'!M15</f>
        <v>計算値 LH-BO-SO</v>
      </c>
      <c r="F53" s="685"/>
      <c r="G53" s="685"/>
      <c r="J53" s="17"/>
    </row>
    <row r="54" spans="1:10" ht="17.25" customHeight="1">
      <c r="A54" s="125">
        <v>17</v>
      </c>
      <c r="B54" s="17" t="str">
        <f>'Lang Hull'!P15</f>
        <v>Boat weight (kg)</v>
      </c>
      <c r="C54" s="125" t="str">
        <f>'Lang Hull'!N15</f>
        <v>Weight</v>
      </c>
      <c r="D54" s="452"/>
      <c r="E54" s="17" t="s">
        <v>696</v>
      </c>
      <c r="F54" s="812" t="str">
        <f>IF($C$410=2,"Std Hull Data","")</f>
        <v/>
      </c>
      <c r="G54" s="812"/>
      <c r="J54" s="17"/>
    </row>
    <row r="55" spans="1:10" ht="17.25" customHeight="1">
      <c r="B55" s="15" t="str">
        <f>'Lang Hull'!Q15</f>
        <v>またはsailing displacement (kg)</v>
      </c>
      <c r="C55" s="359" t="str">
        <f>'Lang Hull'!O15</f>
        <v>Disp</v>
      </c>
      <c r="D55" s="453"/>
      <c r="E55" s="15" t="str">
        <f>'Lang Hull'!R15</f>
        <v>Weight不明の場合</v>
      </c>
      <c r="G55" s="12" t="str">
        <f>IF($C$410=2,"Std Hull Data","")</f>
        <v/>
      </c>
      <c r="J55" s="17"/>
    </row>
    <row r="56" spans="1:10" ht="17.25" customHeight="1">
      <c r="B56" s="4" t="str">
        <f>'Lang Hull'!N28</f>
        <v>Bulb Weight</v>
      </c>
      <c r="C56" s="360" t="s">
        <v>4301</v>
      </c>
      <c r="D56" s="452"/>
      <c r="E56" s="27" t="str">
        <f>'Lang Hull'!O28</f>
        <v>kg. 　キール全体の重量ではない</v>
      </c>
      <c r="F56" s="26"/>
      <c r="G56" s="12"/>
      <c r="H56" s="343" t="str">
        <f>'Lang Other'!E41</f>
        <v>2020年新定義</v>
      </c>
      <c r="J56" s="17"/>
    </row>
    <row r="57" spans="1:10" ht="21" customHeight="1">
      <c r="B57" s="17" t="str">
        <f>'Lang Hull'!S15</f>
        <v>インナーバラスト？</v>
      </c>
      <c r="E57" s="353" t="str">
        <f>'Lang Hull'!T15</f>
        <v>yesなら、その重量</v>
      </c>
      <c r="F57" s="364"/>
      <c r="G57" s="192" t="s">
        <v>3796</v>
      </c>
      <c r="J57" s="17"/>
    </row>
    <row r="58" spans="1:10" ht="16.5" customHeight="1">
      <c r="B58" s="17" t="str">
        <f>'Lang Hull'!D28</f>
        <v>Hull beam</v>
      </c>
      <c r="C58" s="122" t="str">
        <f>'Lang Hull'!W28</f>
        <v>Beam</v>
      </c>
      <c r="D58" s="450"/>
      <c r="E58" s="361" t="s">
        <v>696</v>
      </c>
      <c r="F58" s="812" t="str">
        <f>IF($C$410=2,"Std Hull Data","")</f>
        <v/>
      </c>
      <c r="G58" s="812"/>
      <c r="H58" s="117"/>
      <c r="J58" s="17"/>
    </row>
    <row r="59" spans="1:10" ht="19.5" customHeight="1">
      <c r="A59" s="125">
        <v>18</v>
      </c>
      <c r="B59" s="17" t="str">
        <f>'Lang Hull'!E28</f>
        <v xml:space="preserve">Draft   </v>
      </c>
      <c r="C59" s="125" t="s">
        <v>1539</v>
      </c>
      <c r="D59" s="189"/>
      <c r="F59" s="812" t="str">
        <f>IF($C$410=2,"PLEASE CONFIRM DRAFT","")</f>
        <v/>
      </c>
      <c r="G59" s="812"/>
      <c r="H59" s="116"/>
      <c r="J59" s="17"/>
    </row>
    <row r="60" spans="1:10" ht="20.25" customHeight="1">
      <c r="A60" s="125">
        <v>19.3</v>
      </c>
      <c r="B60" s="819" t="str">
        <f>'Lang Hull'!D48</f>
        <v>If keel is not fixed down</v>
      </c>
      <c r="C60" s="125" t="str">
        <f>'Lang Hull'!F28</f>
        <v>Min</v>
      </c>
      <c r="D60" s="450"/>
      <c r="E60" s="125"/>
      <c r="F60" s="812" t="str">
        <f>IF($C$410=2,"Std Hull Data","")</f>
        <v/>
      </c>
      <c r="G60" s="812"/>
      <c r="H60" s="5"/>
      <c r="J60" s="17"/>
    </row>
    <row r="61" spans="1:10" ht="12.9">
      <c r="B61" s="819"/>
      <c r="C61" s="477"/>
      <c r="D61" s="478"/>
      <c r="E61" s="125"/>
      <c r="F61" s="813"/>
      <c r="G61" s="814"/>
      <c r="J61" s="17"/>
    </row>
    <row r="62" spans="1:10" ht="15" customHeight="1">
      <c r="B62" s="798" t="str">
        <f>'Lang Hull'!H28</f>
        <v xml:space="preserve">Wing keel - Span - </v>
      </c>
      <c r="C62" s="799"/>
      <c r="D62" s="450"/>
      <c r="F62" s="812" t="str">
        <f>IF($C$410=2,"Std Hull Data","")</f>
        <v/>
      </c>
      <c r="G62" s="812"/>
      <c r="J62" s="17"/>
    </row>
    <row r="63" spans="1:10" ht="15" customHeight="1">
      <c r="B63" s="11"/>
      <c r="C63" s="407"/>
      <c r="D63" s="408"/>
      <c r="F63" s="123"/>
      <c r="G63" s="123"/>
      <c r="J63" s="17"/>
    </row>
    <row r="64" spans="1:10" ht="15" customHeight="1">
      <c r="A64" s="397" t="s">
        <v>4493</v>
      </c>
      <c r="B64" s="17" t="str">
        <f>'Lang Hull'!R1</f>
        <v>Boat Weightにバッテリーは含まれますか？</v>
      </c>
      <c r="D64" s="408"/>
      <c r="F64" s="17" t="str">
        <f>'Lang Hull'!S1</f>
        <v>バースクッション</v>
      </c>
      <c r="G64" s="123"/>
      <c r="J64" s="17"/>
    </row>
    <row r="65" spans="1:15" ht="17.25" customHeight="1">
      <c r="B65" s="221"/>
      <c r="C65" s="400"/>
      <c r="D65" s="400"/>
      <c r="E65" s="400"/>
      <c r="F65" s="400"/>
      <c r="J65" s="17"/>
    </row>
    <row r="66" spans="1:15" ht="17.25" customHeight="1">
      <c r="A66" s="397"/>
      <c r="B66" s="681" t="str">
        <f>'Lang Hull'!E1</f>
        <v>各項目で、最も適当と思われる表記を選択し、”その他”や複数である場合、下欄に詳細を記す</v>
      </c>
      <c r="C66" s="681"/>
      <c r="D66" s="681"/>
      <c r="E66" s="681"/>
      <c r="F66" s="681"/>
      <c r="G66" s="681"/>
    </row>
    <row r="67" spans="1:15" ht="17.25" customHeight="1">
      <c r="A67" s="397"/>
      <c r="B67" s="681"/>
      <c r="C67" s="681"/>
      <c r="D67" s="681"/>
      <c r="E67" s="681"/>
      <c r="F67" s="681"/>
      <c r="G67" s="681"/>
      <c r="H67" s="5"/>
    </row>
    <row r="68" spans="1:15" ht="17.25" customHeight="1">
      <c r="A68" s="397"/>
      <c r="B68" s="17" t="str">
        <f>'Lang Hull'!F1</f>
        <v>Hull form</v>
      </c>
    </row>
    <row r="69" spans="1:15" ht="17.25" customHeight="1">
      <c r="A69" s="397"/>
      <c r="B69" s="15" t="str">
        <f>'Lang Hull'!G38</f>
        <v>注：ほとんどのプロダクションボートはフェアフォーム</v>
      </c>
    </row>
    <row r="70" spans="1:15" ht="19.5" customHeight="1">
      <c r="A70" s="397"/>
      <c r="B70" s="17" t="str">
        <f>'Lang Hull'!G1</f>
        <v>Keel configuration</v>
      </c>
      <c r="G70" s="809" t="str">
        <f>'Lang Hull'!I1</f>
        <v>"IRC Keels"シートを参照</v>
      </c>
      <c r="H70" s="809"/>
    </row>
    <row r="71" spans="1:15" ht="21.75" customHeight="1">
      <c r="A71" s="397"/>
      <c r="B71" s="4" t="str">
        <f>'Lang Hull'!H1</f>
        <v>Single fin keel type</v>
      </c>
      <c r="G71" s="674" t="str">
        <f>'Lang Hull'!F38</f>
        <v>キール形状番号を選択する（a, bなどは無視する）</v>
      </c>
      <c r="H71" s="674"/>
    </row>
    <row r="72" spans="1:15" ht="15.75" customHeight="1">
      <c r="A72" s="397">
        <v>19</v>
      </c>
      <c r="B72" s="17" t="str">
        <f>'Lang Hull'!K28</f>
        <v>Keel fin material</v>
      </c>
      <c r="C72" s="1"/>
      <c r="D72" s="1"/>
      <c r="E72" s="1"/>
      <c r="G72" s="685" t="str">
        <f>'Lang Hull'!L28</f>
        <v>フェアリング定義はIRC keelsシートを参照</v>
      </c>
      <c r="H72" s="685"/>
      <c r="J72" s="186"/>
      <c r="K72" s="186"/>
      <c r="L72" s="186"/>
      <c r="M72" s="186"/>
      <c r="N72" s="186"/>
      <c r="O72" s="186"/>
    </row>
    <row r="73" spans="1:15" ht="23.25" customHeight="1">
      <c r="A73" s="397"/>
      <c r="B73" s="17" t="str">
        <f>'Lang Hull'!M28</f>
        <v>Bulb/wing material</v>
      </c>
      <c r="C73" s="1"/>
      <c r="D73" s="1"/>
      <c r="E73" s="1"/>
      <c r="G73" s="809" t="str">
        <f>'Lang Hull'!L48</f>
        <v>If applicable</v>
      </c>
      <c r="H73" s="809"/>
      <c r="J73" s="186"/>
      <c r="K73" s="186"/>
      <c r="L73" s="186"/>
      <c r="M73" s="186"/>
      <c r="N73" s="186"/>
      <c r="O73" s="186"/>
    </row>
    <row r="74" spans="1:15" ht="18.75" customHeight="1">
      <c r="A74" s="397"/>
      <c r="B74" s="17" t="str">
        <f>'Lang Hull'!K1</f>
        <v>Rudder</v>
      </c>
      <c r="H74" s="401"/>
      <c r="J74" s="186"/>
      <c r="K74" s="186"/>
      <c r="L74" s="186"/>
      <c r="M74" s="186"/>
      <c r="N74" s="186"/>
      <c r="O74" s="186"/>
    </row>
    <row r="75" spans="1:15" ht="18" customHeight="1">
      <c r="A75" s="397"/>
      <c r="B75" s="648" t="str">
        <f>'Lang Hull'!L1</f>
        <v>Hull* material(s)</v>
      </c>
      <c r="C75" s="99"/>
      <c r="D75" s="99"/>
      <c r="G75" s="810" t="str">
        <f>'Lang Hull'!Q48</f>
        <v>ハル、デッキ、キャビントップ、内部構造を含む</v>
      </c>
      <c r="H75" s="810"/>
    </row>
    <row r="76" spans="1:15" ht="18" customHeight="1">
      <c r="A76" s="397"/>
      <c r="B76" s="17" t="str">
        <f>'Lang Hull'!M1</f>
        <v>Accommodation</v>
      </c>
      <c r="G76" s="17" t="str">
        <f>'Lang Other'!F41</f>
        <v>写真を添付する</v>
      </c>
    </row>
    <row r="77" spans="1:15" ht="17.25" customHeight="1">
      <c r="A77" s="397"/>
      <c r="B77" s="4" t="str">
        <f>'Lang Hull'!N1</f>
        <v>Accommodation materials</v>
      </c>
      <c r="C77" s="117"/>
    </row>
    <row r="78" spans="1:15" ht="12" customHeight="1">
      <c r="A78" s="397"/>
      <c r="B78" s="4"/>
      <c r="C78" s="117"/>
    </row>
    <row r="79" spans="1:15" ht="17.25" customHeight="1">
      <c r="A79" s="397"/>
      <c r="B79" s="309" t="str">
        <f>'Lang Pay'!M25</f>
        <v>追加コメント／補足：必要なら別紙を添付する</v>
      </c>
      <c r="C79" s="117"/>
    </row>
    <row r="80" spans="1:15" ht="17.25" customHeight="1">
      <c r="A80" s="397"/>
      <c r="B80" s="800"/>
      <c r="C80" s="801"/>
      <c r="D80" s="801"/>
      <c r="E80" s="801"/>
      <c r="F80" s="801"/>
      <c r="G80" s="802"/>
      <c r="H80" s="401"/>
    </row>
    <row r="81" spans="1:8" ht="17.25" customHeight="1">
      <c r="A81" s="397"/>
      <c r="B81" s="803"/>
      <c r="C81" s="804"/>
      <c r="D81" s="804"/>
      <c r="E81" s="804"/>
      <c r="F81" s="804"/>
      <c r="G81" s="805"/>
      <c r="H81" s="401"/>
    </row>
    <row r="82" spans="1:8" ht="17.25" customHeight="1">
      <c r="A82" s="397"/>
      <c r="B82" s="803"/>
      <c r="C82" s="804"/>
      <c r="D82" s="804"/>
      <c r="E82" s="804"/>
      <c r="F82" s="804"/>
      <c r="G82" s="805"/>
      <c r="H82" s="401"/>
    </row>
    <row r="83" spans="1:8" ht="17.25" customHeight="1">
      <c r="A83" s="397"/>
      <c r="B83" s="806"/>
      <c r="C83" s="807"/>
      <c r="D83" s="807"/>
      <c r="E83" s="807"/>
      <c r="F83" s="807"/>
      <c r="G83" s="808"/>
    </row>
    <row r="84" spans="1:8" ht="17.25" customHeight="1">
      <c r="A84" s="397"/>
      <c r="B84" s="788" t="str">
        <f>'Lang Hull'!H48</f>
        <v>レーティングオーソリティーが写真その他情報の提出を求める場合があります</v>
      </c>
      <c r="C84" s="788"/>
      <c r="D84" s="788"/>
      <c r="E84" s="788"/>
      <c r="F84" s="788"/>
      <c r="G84" s="788"/>
    </row>
    <row r="85" spans="1:8" ht="17.25" customHeight="1">
      <c r="A85" s="397"/>
      <c r="B85" s="488"/>
      <c r="C85" s="488"/>
      <c r="D85" s="488"/>
      <c r="E85" s="488"/>
      <c r="F85" s="488"/>
      <c r="G85" s="488"/>
    </row>
    <row r="86" spans="1:8" ht="17.25" customHeight="1">
      <c r="A86" s="397"/>
      <c r="B86" s="775" t="str">
        <f>'Lang Hull'!F48</f>
        <v>以下のような、もしくは本申告書にない特徴を持つ場合、PART 2を埋めて下さい</v>
      </c>
      <c r="C86" s="776"/>
      <c r="D86" s="776"/>
      <c r="E86" s="776"/>
      <c r="F86" s="776"/>
      <c r="G86" s="777"/>
    </row>
    <row r="87" spans="1:8" ht="17.25" customHeight="1">
      <c r="A87" s="397"/>
      <c r="B87" s="778"/>
      <c r="C87" s="779"/>
      <c r="D87" s="779"/>
      <c r="E87" s="779"/>
      <c r="F87" s="779"/>
      <c r="G87" s="780"/>
    </row>
    <row r="88" spans="1:8" ht="17.25" customHeight="1">
      <c r="A88" s="397"/>
      <c r="B88" s="415" t="str">
        <f>'Lang Hull'!O1</f>
        <v>Trim tab(s)</v>
      </c>
      <c r="C88" s="782" t="str">
        <f>'Lang Hull'!Y15</f>
        <v>キールフィン内の材料 (rule 19.6)</v>
      </c>
      <c r="D88" s="782"/>
      <c r="E88" s="782"/>
      <c r="F88" s="8" t="str">
        <f>'Lang Other'!U1</f>
        <v>とりはずした、もしくは変更した標準家具</v>
      </c>
      <c r="G88" s="420"/>
    </row>
    <row r="89" spans="1:8" ht="17.25" customHeight="1">
      <c r="A89" s="397"/>
      <c r="B89" s="415" t="str">
        <f>'Lang Hull'!P1</f>
        <v>Daggerboards (keel以外)</v>
      </c>
      <c r="C89" s="782" t="str">
        <f>'Lang Hull'!V38</f>
        <v>Canting/movable ballast</v>
      </c>
      <c r="D89" s="782"/>
      <c r="E89" s="782"/>
      <c r="F89" s="8"/>
      <c r="G89" s="420"/>
    </row>
    <row r="90" spans="1:8" ht="17.25" customHeight="1">
      <c r="A90" s="397"/>
      <c r="B90" s="415" t="str">
        <f>'Lang Hull'!Q1</f>
        <v>Canard/forward rudder</v>
      </c>
      <c r="C90" s="782" t="str">
        <f>'Lang Hull'!U38</f>
        <v>Water/variable ballast</v>
      </c>
      <c r="D90" s="782"/>
      <c r="E90" s="782"/>
      <c r="F90" s="8"/>
      <c r="G90" s="420"/>
    </row>
    <row r="91" spans="1:8" ht="17.25" customHeight="1">
      <c r="A91" s="397"/>
      <c r="B91" s="416" t="str">
        <f>'Lang Hull'!X15</f>
        <v>Hull hollows</v>
      </c>
      <c r="C91" s="787" t="str">
        <f>'Lang Hull'!W38</f>
        <v>リフトを発生するフォイル</v>
      </c>
      <c r="D91" s="787"/>
      <c r="E91" s="787"/>
      <c r="F91" s="6"/>
      <c r="G91" s="7"/>
    </row>
    <row r="92" spans="1:8" ht="15" customHeight="1"/>
    <row r="93" spans="1:8" ht="15.45">
      <c r="A93" s="351" t="s">
        <v>4505</v>
      </c>
      <c r="B93" s="657" t="str">
        <f>'Lang Rig'!D1</f>
        <v>RIG and SAILS</v>
      </c>
      <c r="C93" s="657"/>
      <c r="D93" s="657"/>
      <c r="E93" s="657"/>
      <c r="F93" s="657"/>
      <c r="G93" s="657"/>
    </row>
    <row r="94" spans="1:8" ht="17.25" customHeight="1">
      <c r="A94" s="351" t="s">
        <v>4725</v>
      </c>
      <c r="B94" s="126"/>
      <c r="C94" s="99"/>
      <c r="D94" s="99"/>
      <c r="E94" s="848" t="str">
        <f>'Lang Rig'!H51</f>
        <v>ツインマストリグ　－　PART 2参照</v>
      </c>
      <c r="F94" s="848"/>
      <c r="G94" s="412"/>
    </row>
    <row r="95" spans="1:8" ht="17.25" customHeight="1">
      <c r="A95" s="397"/>
      <c r="C95" s="798" t="str">
        <f>'Lang Rig'!F1</f>
        <v>Main or forward mast</v>
      </c>
      <c r="D95" s="798"/>
      <c r="E95" s="848"/>
      <c r="F95" s="848"/>
      <c r="G95" s="645" t="str">
        <f>'Lang Rig'!H1</f>
        <v>情報元</v>
      </c>
      <c r="H95" s="581" t="str">
        <f>'Lang Header'!L12</f>
        <v>計測の図式</v>
      </c>
    </row>
    <row r="96" spans="1:8" ht="17.5" customHeight="1">
      <c r="A96" s="397"/>
      <c r="B96" s="11"/>
      <c r="C96" s="365"/>
      <c r="E96" s="615"/>
      <c r="F96" s="615"/>
      <c r="G96" s="644" t="str">
        <f>'Lang Hull'!G15</f>
        <v>必ず記載</v>
      </c>
      <c r="H96" s="201"/>
    </row>
    <row r="97" spans="1:15" ht="17.25" customHeight="1">
      <c r="A97" s="397" t="s">
        <v>5232</v>
      </c>
      <c r="B97" s="17" t="str">
        <f>'Lang Rig'!I1</f>
        <v>Mainsail upper limit</v>
      </c>
      <c r="C97" s="125" t="s">
        <v>366</v>
      </c>
      <c r="D97" s="189"/>
      <c r="G97" s="366"/>
      <c r="J97" s="199"/>
      <c r="K97" s="140"/>
      <c r="L97" s="140"/>
    </row>
    <row r="98" spans="1:15" ht="17.25" customHeight="1">
      <c r="A98" s="397"/>
      <c r="B98" s="17" t="str">
        <f>'Lang Rig'!J1</f>
        <v>Mainsail outer limit</v>
      </c>
      <c r="C98" s="125" t="s">
        <v>368</v>
      </c>
      <c r="D98" s="189"/>
      <c r="G98" s="12"/>
      <c r="J98" s="205"/>
    </row>
    <row r="99" spans="1:15" ht="17.25" customHeight="1">
      <c r="A99" s="397"/>
      <c r="B99" s="17" t="str">
        <f>'Lang Rig'!K1</f>
        <v>Foretriangle base</v>
      </c>
      <c r="C99" s="125" t="s">
        <v>371</v>
      </c>
      <c r="D99" s="189"/>
      <c r="G99" s="12"/>
    </row>
    <row r="100" spans="1:15" ht="17.25" customHeight="1">
      <c r="A100" s="397"/>
      <c r="B100" s="17" t="str">
        <f>'Lang Rig'!L1</f>
        <v>Forestay length</v>
      </c>
      <c r="C100" s="125" t="s">
        <v>374</v>
      </c>
      <c r="D100" s="189"/>
      <c r="G100" s="12"/>
    </row>
    <row r="101" spans="1:15" ht="22" customHeight="1">
      <c r="A101" s="397"/>
      <c r="B101" s="3" t="str">
        <f>'Lang Rig'!M1</f>
        <v>Bowsprit/deck tack point length</v>
      </c>
      <c r="C101" s="122" t="s">
        <v>944</v>
      </c>
      <c r="D101" s="189"/>
      <c r="E101" s="27"/>
      <c r="F101" s="367"/>
      <c r="G101" s="12"/>
    </row>
    <row r="102" spans="1:15" ht="17.149999999999999" customHeight="1">
      <c r="A102" s="397"/>
      <c r="B102" s="3" t="str">
        <f>'Lang Rig'!O1</f>
        <v>Spinnaker pole length</v>
      </c>
      <c r="C102" s="125" t="s">
        <v>5227</v>
      </c>
      <c r="D102" s="189"/>
      <c r="F102" s="185"/>
      <c r="G102" s="12"/>
      <c r="H102" s="343"/>
    </row>
    <row r="103" spans="1:15" ht="17.25" customHeight="1">
      <c r="A103" s="404"/>
      <c r="B103" s="817"/>
      <c r="C103" s="817"/>
      <c r="D103" s="817"/>
      <c r="E103" s="817"/>
      <c r="F103" s="817"/>
      <c r="G103" s="817"/>
    </row>
    <row r="104" spans="1:15" ht="17.25" customHeight="1">
      <c r="A104" s="17"/>
      <c r="B104" s="126" t="str">
        <f>'Lang Rig'!D31</f>
        <v>Name of sailmaker (s) loft (s)</v>
      </c>
      <c r="C104" s="700"/>
      <c r="D104" s="701"/>
      <c r="E104" s="701"/>
      <c r="F104" s="701"/>
      <c r="G104" s="702"/>
    </row>
    <row r="105" spans="1:15" ht="17.25" customHeight="1">
      <c r="A105" s="125">
        <v>13</v>
      </c>
      <c r="B105" s="685" t="str">
        <f>'Lang Rig'!M61</f>
        <v>セイルメーカーもしくはメジャラーによる計測を推奨するが、ノーマル証書の場合は、自己計測も可</v>
      </c>
      <c r="C105" s="685"/>
      <c r="D105" s="685"/>
      <c r="E105" s="685"/>
      <c r="F105" s="685"/>
      <c r="G105" s="685"/>
      <c r="H105" s="685"/>
    </row>
    <row r="106" spans="1:15" ht="17.25" customHeight="1">
      <c r="A106" s="125">
        <v>8.5</v>
      </c>
      <c r="B106" s="845" t="str">
        <f>'Lang Rig'!K51</f>
        <v>エンドースド証書には、セールの公認メジャラーによる計測が必要</v>
      </c>
      <c r="C106" s="845"/>
      <c r="D106" s="845"/>
      <c r="E106" s="845"/>
      <c r="F106" s="845"/>
      <c r="G106" s="845"/>
      <c r="H106" s="582" t="str">
        <f>'Lang Rig'!H61</f>
        <v>簡易セイル計測ガイド（エンドースド証書には適用不可）</v>
      </c>
    </row>
    <row r="107" spans="1:15" ht="17.25" customHeight="1">
      <c r="B107" s="2"/>
      <c r="C107" s="2"/>
      <c r="D107" s="2"/>
      <c r="E107" s="2"/>
      <c r="F107" s="2"/>
      <c r="G107" s="2"/>
      <c r="H107" s="202"/>
    </row>
    <row r="108" spans="1:15" ht="17.25" customHeight="1">
      <c r="B108" s="554" t="str">
        <f>'Lang Rig'!N71</f>
        <v>MAINSAIL</v>
      </c>
      <c r="C108" s="798" t="str">
        <f>'Lang Rig'!D81</f>
        <v>セイル ID:IHC # またはその他の識別子</v>
      </c>
      <c r="D108" s="798"/>
      <c r="E108" s="849"/>
      <c r="F108" s="643"/>
      <c r="G108" s="646" t="str">
        <f>'Lang Rig'!H1</f>
        <v>情報元</v>
      </c>
      <c r="H108" s="202"/>
    </row>
    <row r="109" spans="1:15" ht="17.25" customHeight="1">
      <c r="A109" s="397">
        <v>21.5</v>
      </c>
      <c r="B109" s="17" t="str">
        <f>'Lang Rig'!J11</f>
        <v>Mainsail upper (7/8) width</v>
      </c>
      <c r="C109" s="125" t="s">
        <v>1460</v>
      </c>
      <c r="D109" s="189"/>
      <c r="E109" s="372"/>
      <c r="F109" s="374"/>
      <c r="G109" s="299"/>
      <c r="H109" s="124"/>
    </row>
    <row r="110" spans="1:15" ht="17.25" customHeight="1">
      <c r="A110" s="397"/>
      <c r="B110" s="17" t="str">
        <f>'Lang Rig'!K11</f>
        <v>Mainsail 3/4 width</v>
      </c>
      <c r="C110" s="125" t="s">
        <v>1459</v>
      </c>
      <c r="D110" s="189"/>
      <c r="E110" s="372"/>
      <c r="F110" s="374"/>
      <c r="G110" s="191"/>
      <c r="H110" s="124"/>
      <c r="J110" s="205"/>
      <c r="K110" s="205"/>
      <c r="L110" s="205"/>
      <c r="M110" s="205"/>
      <c r="N110" s="205"/>
      <c r="O110" s="205"/>
    </row>
    <row r="111" spans="1:15" ht="17.25" customHeight="1">
      <c r="A111" s="397"/>
      <c r="B111" s="17" t="str">
        <f>'Lang Rig'!L11</f>
        <v>Mainsail 1/2 width</v>
      </c>
      <c r="C111" s="122" t="s">
        <v>1457</v>
      </c>
      <c r="D111" s="189"/>
      <c r="E111" s="372"/>
      <c r="F111" s="374"/>
      <c r="G111" s="191"/>
      <c r="H111" s="124"/>
      <c r="K111" s="121"/>
      <c r="L111" s="121"/>
      <c r="M111" s="121"/>
      <c r="N111" s="121"/>
      <c r="O111" s="121"/>
    </row>
    <row r="112" spans="1:15" ht="17.25" customHeight="1">
      <c r="B112" s="2"/>
      <c r="C112" s="2"/>
      <c r="D112" s="2"/>
      <c r="E112" s="2"/>
      <c r="F112" s="2"/>
      <c r="G112" s="2"/>
      <c r="H112" s="202"/>
    </row>
    <row r="113" spans="1:10" ht="17.25" customHeight="1">
      <c r="B113" s="554" t="str">
        <f>'Lang Rig'!O71</f>
        <v>HEADSAIL</v>
      </c>
      <c r="C113" s="2"/>
      <c r="D113" s="2"/>
      <c r="E113" s="2"/>
      <c r="F113" s="2"/>
      <c r="G113" s="2"/>
      <c r="H113" s="202"/>
    </row>
    <row r="114" spans="1:10" ht="17.05" customHeight="1">
      <c r="A114" s="125" t="s">
        <v>5453</v>
      </c>
      <c r="B114" s="699" t="str">
        <f>'Lang Rig'!S1</f>
        <v>レース中搭載するヘッドセイルの総数</v>
      </c>
      <c r="C114" s="2"/>
      <c r="D114" s="193"/>
      <c r="E114" s="17" t="str">
        <f>'Lang Rig'!T1</f>
        <v>ステイスルを含む。OSRヘビーウェザージブ1枚、および/もしくはOSRストームジブ１枚は含まない。IRC規則21.7.1を参照。</v>
      </c>
      <c r="F114" s="2"/>
      <c r="G114" s="2"/>
      <c r="H114" s="202"/>
    </row>
    <row r="115" spans="1:10" ht="9.5500000000000007" customHeight="1">
      <c r="B115" s="699"/>
      <c r="C115" s="2"/>
      <c r="D115" s="379"/>
      <c r="F115" s="2"/>
      <c r="G115" s="2"/>
      <c r="H115" s="202"/>
    </row>
    <row r="116" spans="1:10" ht="25.5" customHeight="1">
      <c r="A116" s="593">
        <v>21.8</v>
      </c>
      <c r="B116" s="699" t="str">
        <f>IF(D114=1,'Lang Rig'!F41,'Lang Rig'!I41)</f>
        <v>シングルファールヘッドセイルは非適用　ー　反映されない</v>
      </c>
      <c r="C116" s="699"/>
      <c r="D116" s="699"/>
      <c r="F116" s="2"/>
      <c r="G116" s="592" t="str">
        <f>IF(D114=1,D120/D99,"")</f>
        <v/>
      </c>
      <c r="H116" s="811" t="str">
        <f>IF(D114=1,'Lang Rig'!H41,"")</f>
        <v/>
      </c>
      <c r="I116" s="811"/>
      <c r="J116" s="811"/>
    </row>
    <row r="117" spans="1:10" ht="17.05" customHeight="1">
      <c r="B117" s="410"/>
      <c r="C117" s="690" t="str">
        <f>'Lang Rig'!D81</f>
        <v>セイル ID:IHC # またはその他の識別子</v>
      </c>
      <c r="D117" s="690"/>
      <c r="E117" s="691"/>
      <c r="F117" s="643"/>
      <c r="G117" s="645" t="str">
        <f>'Lang Rig'!H1</f>
        <v>情報元</v>
      </c>
      <c r="H117" s="202"/>
    </row>
    <row r="118" spans="1:10" ht="17.25" customHeight="1">
      <c r="A118" s="397">
        <v>21.7</v>
      </c>
      <c r="B118" s="17" t="str">
        <f>'Lang Rig'!D11</f>
        <v>Longest HLU of any headsail</v>
      </c>
      <c r="C118" s="125" t="s">
        <v>4418</v>
      </c>
      <c r="D118" s="189"/>
      <c r="E118" s="368"/>
      <c r="F118" s="368"/>
      <c r="G118" s="191"/>
      <c r="H118" s="17" t="str">
        <f>'Lang Rig'!G61</f>
        <v>*申告がなければ、HLUmaxがHLUとして入力されます。定義を確認し、HLUよりも長いラフレングスを持つヘッドセイルがある場合、その値を申告すること</v>
      </c>
    </row>
    <row r="119" spans="1:10" ht="17.25" customHeight="1">
      <c r="A119" s="397"/>
      <c r="B119" s="17" t="str">
        <f>'Lang Rig'!E11</f>
        <v>Headsail luff length</v>
      </c>
      <c r="C119" s="125" t="s">
        <v>4298</v>
      </c>
      <c r="D119" s="189"/>
      <c r="F119" s="369"/>
      <c r="G119" s="191"/>
      <c r="H119" s="185" t="str">
        <f>IF(AND(D119&gt;0,D118&gt;D119),"LLmax&gt;LL, check definition","")</f>
        <v/>
      </c>
    </row>
    <row r="120" spans="1:10" ht="17.25" customHeight="1">
      <c r="A120" s="397"/>
      <c r="B120" s="17" t="str">
        <f>'Lang Rig'!F11</f>
        <v>Headsail perpendicular</v>
      </c>
      <c r="C120" s="125" t="s">
        <v>4299</v>
      </c>
      <c r="D120" s="189"/>
      <c r="E120" s="370" t="str">
        <f>'Lang Rig'!N11</f>
        <v>Calc HSA</v>
      </c>
      <c r="F120" s="414">
        <f>IF(C403=TRUE,(0.0625*(ROUND(D119,2))*(4*(ROUND(D120,2))+(6*(ROUND(D123,2)))+(3*(ROUND(D122,2)))+(2*(ROUND(D121,2)))+0.09)),0)</f>
        <v>0</v>
      </c>
      <c r="G120" s="371" t="str">
        <f>'Lang Rig'!P21</f>
        <v>寸法値データより</v>
      </c>
      <c r="H120" s="4" t="str">
        <f>'Lang Rig'!M11</f>
        <v>**最大面積ヘッドセール</v>
      </c>
    </row>
    <row r="121" spans="1:10" ht="17.25" customHeight="1">
      <c r="A121" s="397"/>
      <c r="B121" s="17" t="str">
        <f>'Lang Rig'!I11</f>
        <v>Headsail upper (7/8) width</v>
      </c>
      <c r="C121" s="122" t="s">
        <v>2453</v>
      </c>
      <c r="D121" s="189"/>
      <c r="E121" s="372"/>
      <c r="F121" s="373"/>
      <c r="G121" s="191"/>
      <c r="H121" s="124"/>
    </row>
    <row r="122" spans="1:10" ht="17.25" customHeight="1">
      <c r="A122" s="397"/>
      <c r="B122" s="17" t="str">
        <f>'Lang Rig'!H11</f>
        <v>Headsail 3/4 width</v>
      </c>
      <c r="C122" s="125" t="s">
        <v>4239</v>
      </c>
      <c r="D122" s="189"/>
      <c r="E122" s="372"/>
      <c r="F122" s="373"/>
      <c r="G122" s="191"/>
      <c r="H122" s="206"/>
    </row>
    <row r="123" spans="1:10" ht="17.25" customHeight="1">
      <c r="A123" s="397"/>
      <c r="B123" s="17" t="str">
        <f>'Lang Rig'!G11</f>
        <v>Headsail 1/2 width</v>
      </c>
      <c r="C123" s="125" t="s">
        <v>4238</v>
      </c>
      <c r="D123" s="189"/>
      <c r="F123" s="413"/>
      <c r="G123" s="191"/>
      <c r="H123" s="206"/>
    </row>
    <row r="124" spans="1:10" ht="17.25" customHeight="1">
      <c r="A124" s="397"/>
      <c r="B124" s="17" t="str">
        <f>'Lang Rig'!M71</f>
        <v>Foot Offset   if &gt;7.5% FHLP</v>
      </c>
      <c r="C124" s="122" t="s">
        <v>3091</v>
      </c>
      <c r="D124" s="190"/>
      <c r="E124" s="372" t="s">
        <v>4646</v>
      </c>
      <c r="F124" s="373">
        <f>D120*0.075</f>
        <v>0</v>
      </c>
      <c r="G124" s="299"/>
      <c r="H124" s="124"/>
    </row>
    <row r="126" spans="1:10" ht="17.5" customHeight="1">
      <c r="B126" s="554" t="str">
        <f>'Lang Rig'!P71</f>
        <v>FLYING HEADSAIL</v>
      </c>
      <c r="C126" s="690"/>
      <c r="D126" s="690"/>
      <c r="E126" s="690"/>
      <c r="F126" s="617"/>
      <c r="G126" s="125"/>
    </row>
    <row r="127" spans="1:10" ht="17.05" customHeight="1">
      <c r="A127" s="125">
        <v>21.7</v>
      </c>
      <c r="B127" s="17" t="str">
        <f>'Lang Rig'!D71</f>
        <v>レース中搭載するフライングヘッドセールの数</v>
      </c>
      <c r="D127" s="194"/>
      <c r="E127" s="818" t="str">
        <f>'Lang Rig'!L71</f>
        <v>付則A5の定義による</v>
      </c>
      <c r="F127" s="685"/>
      <c r="G127" s="618"/>
      <c r="H127" s="343"/>
    </row>
    <row r="128" spans="1:10" ht="17.05" customHeight="1">
      <c r="D128" s="616"/>
      <c r="G128" s="618"/>
      <c r="H128" s="343"/>
    </row>
    <row r="129" spans="1:11" ht="17.05" customHeight="1">
      <c r="C129" s="690" t="str">
        <f>'Lang Rig'!D81</f>
        <v>セイル ID:IHC # またはその他の識別子</v>
      </c>
      <c r="D129" s="690"/>
      <c r="E129" s="691"/>
      <c r="F129" s="643"/>
      <c r="G129" s="646" t="str">
        <f>'Lang Rig'!H1</f>
        <v>情報元</v>
      </c>
      <c r="H129" s="343"/>
    </row>
    <row r="130" spans="1:11" ht="17.5" customHeight="1">
      <c r="B130" s="3" t="str">
        <f>'Lang Rig'!E71</f>
        <v>Flying headsail foot</v>
      </c>
      <c r="C130" s="125" t="s">
        <v>5217</v>
      </c>
      <c r="D130" s="189"/>
      <c r="G130" s="191"/>
      <c r="H130" s="343" t="str">
        <f>IF(AND((D131&gt;0),(D131&lt;(D130*0.6))),"SHW &lt; 60%. Too narrow - rate as headsail","")</f>
        <v/>
      </c>
    </row>
    <row r="131" spans="1:11" ht="17.5" customHeight="1">
      <c r="B131" s="3" t="str">
        <f>'Lang Rig'!F71</f>
        <v>Flying headsail half width</v>
      </c>
      <c r="C131" s="125" t="s">
        <v>5218</v>
      </c>
      <c r="D131" s="189"/>
      <c r="G131" s="299"/>
      <c r="H131" s="17" t="str">
        <f>IF(AND((D131&gt;0),(D131&gt;=(D130*0.75))),"SHW &gt;= 75%. Too wide - rate as spinnaker","")</f>
        <v/>
      </c>
    </row>
    <row r="132" spans="1:11" ht="17.05" customHeight="1">
      <c r="B132" s="3" t="str">
        <f>'Lang Rig'!G71</f>
        <v>Flying headsail luff length</v>
      </c>
      <c r="C132" s="125" t="s">
        <v>5219</v>
      </c>
      <c r="D132" s="189"/>
      <c r="G132" s="299"/>
    </row>
    <row r="133" spans="1:11" ht="17.05" customHeight="1">
      <c r="B133" s="3" t="str">
        <f>'Lang Rig'!H71</f>
        <v>Flying headsail perpendicular</v>
      </c>
      <c r="C133" s="125" t="s">
        <v>5220</v>
      </c>
      <c r="D133" s="189"/>
      <c r="E133" s="370" t="str">
        <f>'Lang Rig'!O11</f>
        <v>Calc FSA</v>
      </c>
      <c r="F133" s="414">
        <f>IF(C404=TRUE,(0.0625*(ROUND(D132,2))*(4*(ROUND(D133,2))+(6*(ROUND(D136,2)))+(3*(ROUND(D135,2)))+(2*(ROUND(D134,2)))+0.09)),0)</f>
        <v>0</v>
      </c>
      <c r="G133" s="371" t="str">
        <f>'Lang Rig'!P21</f>
        <v>寸法値データより</v>
      </c>
    </row>
    <row r="134" spans="1:11" ht="20.05" customHeight="1">
      <c r="B134" s="3" t="str">
        <f>'Lang Rig'!I71</f>
        <v>Flying headsail upper (7/8) width</v>
      </c>
      <c r="C134" s="125" t="s">
        <v>5221</v>
      </c>
      <c r="D134" s="189"/>
      <c r="E134" s="562" t="s">
        <v>5361</v>
      </c>
      <c r="F134" s="563">
        <f>D130-(0.25*D99)</f>
        <v>0</v>
      </c>
      <c r="G134" s="299"/>
    </row>
    <row r="135" spans="1:11" ht="20.05" customHeight="1">
      <c r="B135" s="3" t="str">
        <f>'Lang Rig'!J71</f>
        <v>Flying headsail 3/4 width</v>
      </c>
      <c r="C135" s="125" t="s">
        <v>5222</v>
      </c>
      <c r="D135" s="189"/>
      <c r="F135" s="564" t="s">
        <v>5362</v>
      </c>
      <c r="G135" s="299"/>
    </row>
    <row r="136" spans="1:11" ht="17.05" customHeight="1">
      <c r="B136" s="3" t="str">
        <f>'Lang Rig'!K71</f>
        <v>Flying headsail 1/2 width</v>
      </c>
      <c r="C136" s="122" t="s">
        <v>5223</v>
      </c>
      <c r="D136" s="190"/>
      <c r="G136" s="299"/>
    </row>
    <row r="137" spans="1:11" ht="17.05" customHeight="1">
      <c r="B137" s="17" t="str">
        <f>'Lang Rig'!M71</f>
        <v>Foot Offset   if &gt;7.5% FHLP</v>
      </c>
      <c r="C137" s="122" t="s">
        <v>5267</v>
      </c>
      <c r="D137" s="190"/>
      <c r="E137" s="372" t="s">
        <v>5266</v>
      </c>
      <c r="F137" s="373">
        <f>D133*0.075</f>
        <v>0</v>
      </c>
      <c r="G137" s="299"/>
    </row>
    <row r="139" spans="1:11" ht="19.5" customHeight="1">
      <c r="B139" s="554" t="str">
        <f>'Lang Rig'!Q71</f>
        <v>SPINNAKERS</v>
      </c>
    </row>
    <row r="140" spans="1:11" ht="17.149999999999999" customHeight="1">
      <c r="A140" s="397">
        <v>21.6</v>
      </c>
      <c r="B140" s="685" t="str">
        <f>'Lang Rig'!Q11</f>
        <v xml:space="preserve">No. of spinnakers carried when racing </v>
      </c>
      <c r="C140" s="686"/>
      <c r="D140" s="193"/>
      <c r="E140" s="685" t="str">
        <f>'Lang Rig'!R11</f>
        <v>symmetric（対称）</v>
      </c>
      <c r="F140" s="685"/>
      <c r="G140" s="734" t="str">
        <f>IF(OR(D140&gt;0,D141&gt;0),'Lang Rig'!L61,"")</f>
        <v/>
      </c>
      <c r="H140" s="832"/>
      <c r="I140" s="832"/>
      <c r="J140" s="832"/>
      <c r="K140" s="832"/>
    </row>
    <row r="141" spans="1:11" ht="17.149999999999999" customHeight="1">
      <c r="A141" s="397"/>
      <c r="C141" s="413"/>
      <c r="D141" s="193"/>
      <c r="E141" s="841" t="str">
        <f>'Lang Rig'!S11</f>
        <v>asymmetric（非対称）</v>
      </c>
      <c r="F141" s="674"/>
      <c r="G141" s="734"/>
      <c r="H141" s="124"/>
      <c r="K141" s="399"/>
    </row>
    <row r="142" spans="1:11" ht="17.149999999999999" customHeight="1">
      <c r="A142" s="397"/>
      <c r="C142" s="15"/>
      <c r="D142" s="378"/>
      <c r="E142" s="4"/>
      <c r="F142" s="4"/>
      <c r="G142" s="16"/>
      <c r="H142" s="124"/>
      <c r="K142" s="399"/>
    </row>
    <row r="143" spans="1:11" ht="17.149999999999999" customHeight="1">
      <c r="A143" s="397"/>
      <c r="C143" s="690" t="str">
        <f>'Lang Rig'!D81</f>
        <v>セイル ID:IHC # またはその他の識別子</v>
      </c>
      <c r="D143" s="690"/>
      <c r="E143" s="691"/>
      <c r="F143" s="643"/>
      <c r="G143" s="646" t="str">
        <f>'Lang Rig'!H1</f>
        <v>情報元</v>
      </c>
      <c r="H143" s="124"/>
      <c r="K143" s="399"/>
    </row>
    <row r="144" spans="1:11" ht="17.25" customHeight="1">
      <c r="A144" s="397"/>
      <c r="B144" s="17" t="str">
        <f>'Lang Rig'!D21</f>
        <v>Symmetric spinnaker luff</v>
      </c>
      <c r="C144" s="125" t="s">
        <v>1463</v>
      </c>
      <c r="D144" s="189"/>
      <c r="F144" s="158"/>
      <c r="G144" s="191"/>
      <c r="H144" s="840" t="str">
        <f>'Lang Rig'!Q41</f>
        <v>NOTA: Informar las medidas LINEALES del spinnaker (IRC 21.6.2)</v>
      </c>
      <c r="K144" s="399"/>
    </row>
    <row r="145" spans="1:15" ht="17.25" customHeight="1">
      <c r="A145" s="397"/>
      <c r="B145" s="17" t="str">
        <f>'Lang Rig'!E21</f>
        <v>Symmetric spinnaker leech</v>
      </c>
      <c r="C145" s="125" t="s">
        <v>157</v>
      </c>
      <c r="D145" s="189"/>
      <c r="F145" s="375"/>
      <c r="G145" s="191"/>
      <c r="H145" s="840"/>
      <c r="J145" s="349"/>
      <c r="K145" s="349"/>
      <c r="L145" s="349"/>
      <c r="M145" s="349"/>
      <c r="N145" s="349"/>
      <c r="O145" s="349"/>
    </row>
    <row r="146" spans="1:15" ht="17.25" customHeight="1">
      <c r="A146" s="397"/>
      <c r="B146" s="17" t="str">
        <f>'Lang Rig'!F21</f>
        <v>Symmetric spinnaker foot</v>
      </c>
      <c r="C146" s="125" t="s">
        <v>4300</v>
      </c>
      <c r="D146" s="189"/>
      <c r="E146" s="11"/>
      <c r="F146" s="486"/>
      <c r="G146" s="191"/>
      <c r="J146" s="349"/>
      <c r="K146" s="349"/>
      <c r="L146" s="349"/>
      <c r="M146" s="349"/>
      <c r="N146" s="349"/>
      <c r="O146" s="349"/>
    </row>
    <row r="147" spans="1:15" ht="17.25" customHeight="1">
      <c r="A147" s="397"/>
      <c r="B147" s="17" t="str">
        <f>'Lang Rig'!G21</f>
        <v>Symmetric spinnaker half width</v>
      </c>
      <c r="C147" s="122" t="s">
        <v>163</v>
      </c>
      <c r="D147" s="189"/>
      <c r="E147" s="417" t="str">
        <f>'Lang Rig'!O21</f>
        <v>計算値 SPA</v>
      </c>
      <c r="F147" s="485">
        <f>IF(D417=TRUE,((ROUND(D144,2)+ROUND(D145,2))/2)*((ROUND(D146,2)+(4*ROUND(D147,2)))/5)*0.83,0)</f>
        <v>0</v>
      </c>
      <c r="G147" s="376"/>
      <c r="H147" s="140" t="str">
        <f>IF(AND(D147&gt;0,D147&lt;D146*0.75),"SHW &lt; 75%SF (see validation sheet)","")</f>
        <v/>
      </c>
      <c r="J147" s="186"/>
      <c r="K147" s="186"/>
      <c r="L147" s="186"/>
      <c r="M147" s="186"/>
      <c r="N147" s="186"/>
      <c r="O147" s="186"/>
    </row>
    <row r="148" spans="1:15" ht="17.25" customHeight="1">
      <c r="A148" s="397"/>
      <c r="C148" s="125"/>
      <c r="D148" s="619"/>
      <c r="E148" s="621" t="str">
        <f>'Lang Rig'!P21</f>
        <v>寸法値データより</v>
      </c>
      <c r="F148" s="418"/>
      <c r="G148" s="620"/>
      <c r="H148" s="140"/>
      <c r="J148" s="186"/>
      <c r="K148" s="186"/>
      <c r="L148" s="186"/>
      <c r="M148" s="186"/>
      <c r="N148" s="186"/>
      <c r="O148" s="186"/>
    </row>
    <row r="149" spans="1:15" ht="17.25" customHeight="1">
      <c r="A149" s="397"/>
      <c r="C149" s="125"/>
      <c r="D149" s="408"/>
      <c r="E149" s="348"/>
      <c r="F149" s="418"/>
      <c r="G149" s="15"/>
      <c r="H149" s="140"/>
      <c r="J149" s="186"/>
      <c r="K149" s="186"/>
      <c r="L149" s="186"/>
      <c r="M149" s="186"/>
      <c r="N149" s="186"/>
      <c r="O149" s="186"/>
    </row>
    <row r="150" spans="1:15" ht="17.25" customHeight="1">
      <c r="A150" s="397"/>
      <c r="C150" s="690" t="str">
        <f>'Lang Rig'!D81</f>
        <v>セイル ID:IHC # またはその他の識別子</v>
      </c>
      <c r="D150" s="690"/>
      <c r="E150" s="691"/>
      <c r="F150" s="643"/>
      <c r="G150" s="646" t="str">
        <f>'Lang Rig'!H1</f>
        <v>情報元</v>
      </c>
      <c r="H150" s="140"/>
      <c r="J150" s="186"/>
      <c r="K150" s="186"/>
      <c r="L150" s="186"/>
      <c r="M150" s="186"/>
      <c r="N150" s="186"/>
      <c r="O150" s="186"/>
    </row>
    <row r="151" spans="1:15" ht="17.25" customHeight="1">
      <c r="A151" s="397">
        <v>21.6</v>
      </c>
      <c r="B151" s="17" t="str">
        <f>'Lang Rig'!H21</f>
        <v>Asymmetric spinnaker luff</v>
      </c>
      <c r="C151" s="125" t="s">
        <v>1463</v>
      </c>
      <c r="D151" s="189"/>
      <c r="G151" s="299"/>
      <c r="H151" s="840" t="str">
        <f>'Lang Rig'!Q41</f>
        <v>NOTA: Informar las medidas LINEALES del spinnaker (IRC 21.6.2)</v>
      </c>
      <c r="J151" s="186"/>
      <c r="K151" s="186"/>
      <c r="L151" s="186"/>
      <c r="M151" s="186"/>
      <c r="N151" s="186"/>
      <c r="O151" s="186"/>
    </row>
    <row r="152" spans="1:15" ht="17.25" customHeight="1">
      <c r="A152" s="397"/>
      <c r="B152" s="17" t="str">
        <f>'Lang Rig'!I21</f>
        <v>Asymmetric spinnaker leech</v>
      </c>
      <c r="C152" s="125" t="s">
        <v>157</v>
      </c>
      <c r="D152" s="189"/>
      <c r="G152" s="191"/>
      <c r="H152" s="840"/>
    </row>
    <row r="153" spans="1:15" ht="17.25" customHeight="1">
      <c r="A153" s="397"/>
      <c r="B153" s="17" t="str">
        <f>'Lang Rig'!J21</f>
        <v>Asymmetric spinnaker foot</v>
      </c>
      <c r="C153" s="125" t="s">
        <v>4300</v>
      </c>
      <c r="D153" s="189"/>
      <c r="E153" s="11"/>
      <c r="F153" s="486"/>
      <c r="G153" s="191"/>
    </row>
    <row r="154" spans="1:15" ht="17.25" customHeight="1">
      <c r="A154" s="397"/>
      <c r="B154" s="17" t="str">
        <f>'Lang Rig'!K21</f>
        <v>Asymmetric spinnaker half width</v>
      </c>
      <c r="C154" s="122" t="s">
        <v>163</v>
      </c>
      <c r="D154" s="189"/>
      <c r="E154" s="417" t="str">
        <f>E147</f>
        <v>計算値 SPA</v>
      </c>
      <c r="F154" s="485">
        <f>IF(D421=TRUE,((ROUND(D151,2)+ROUND(D152,2))/2)*((ROUND(D153,2)+(4*ROUND(D154,2)))/5)*0.83,0)</f>
        <v>0</v>
      </c>
      <c r="G154" s="376"/>
      <c r="H154" s="140" t="str">
        <f>IF(AND(D154&gt;0,D154&lt;D153*0.75),"SHW &lt; 75%SF (see validation sheet)","")</f>
        <v/>
      </c>
    </row>
    <row r="155" spans="1:15" ht="17.25" customHeight="1">
      <c r="C155" s="125"/>
      <c r="D155" s="408"/>
      <c r="E155" s="621" t="str">
        <f>'Lang Rig'!P21</f>
        <v>寸法値データより</v>
      </c>
      <c r="F155" s="418"/>
      <c r="G155" s="15"/>
      <c r="H155" s="140"/>
    </row>
    <row r="156" spans="1:15" ht="17.25" customHeight="1">
      <c r="C156" s="125"/>
      <c r="D156" s="408"/>
      <c r="E156" s="348"/>
      <c r="F156" s="418"/>
      <c r="G156" s="15"/>
      <c r="H156" s="140"/>
    </row>
    <row r="157" spans="1:15" ht="22" customHeight="1">
      <c r="A157" s="125">
        <v>21.3</v>
      </c>
      <c r="B157" s="663" t="str">
        <f>'Lang Rig'!N1</f>
        <v>レース中使用するアイテム(spin pole/bowsprit)：</v>
      </c>
      <c r="C157" s="663"/>
      <c r="D157" s="663"/>
      <c r="E157" s="663"/>
      <c r="F157" s="842"/>
      <c r="G157" s="842"/>
      <c r="H157" s="343"/>
      <c r="J157" s="117"/>
    </row>
    <row r="158" spans="1:15" ht="23.5" customHeight="1">
      <c r="B158" s="663" t="str">
        <f>'Lang Drops'!J41</f>
        <v>ヘッドセイルもしくはフライングヘッドセイルを、風下に展開するためにポールを使いますか？</v>
      </c>
      <c r="C158" s="663"/>
      <c r="D158" s="3"/>
      <c r="E158" s="3"/>
      <c r="F158" s="5"/>
      <c r="G158" s="4" t="str">
        <f>'Lang Rig'!Q1</f>
        <v>ウイスカポールを風上にのみセットする場合は、申告の必要はありません</v>
      </c>
      <c r="H158" s="343"/>
      <c r="J158" s="117"/>
    </row>
    <row r="159" spans="1:15" ht="17.25" customHeight="1">
      <c r="C159" s="125"/>
      <c r="D159" s="570"/>
      <c r="F159" s="418"/>
      <c r="G159" s="569" t="str">
        <f>IF($A$431=3,'Lang Rig'!R1,"")</f>
        <v/>
      </c>
      <c r="H159" s="140"/>
    </row>
    <row r="160" spans="1:15" ht="20.25" customHeight="1">
      <c r="A160" s="125">
        <v>21.2</v>
      </c>
      <c r="B160" s="674" t="str">
        <f>'Lang Rig'!G41</f>
        <v xml:space="preserve">Is in-mast furling fitted?  </v>
      </c>
      <c r="C160" s="674"/>
    </row>
    <row r="161" spans="1:10" ht="20.25" customHeight="1">
      <c r="B161" s="4"/>
      <c r="C161" s="4"/>
    </row>
    <row r="162" spans="1:10" ht="17.25" customHeight="1">
      <c r="A162" s="397">
        <v>21.1</v>
      </c>
      <c r="B162" s="4" t="str">
        <f>'Lang Rig'!E1</f>
        <v>Rig type</v>
      </c>
      <c r="F162" s="117"/>
      <c r="G162" s="117"/>
    </row>
    <row r="163" spans="1:10" ht="17.25" customHeight="1">
      <c r="A163" s="397"/>
    </row>
    <row r="164" spans="1:10" ht="20.05" customHeight="1">
      <c r="A164" s="397"/>
      <c r="B164" s="17" t="str">
        <f>'Lang Rig'!E31</f>
        <v>Mainmast material</v>
      </c>
      <c r="C164" s="99"/>
      <c r="D164" s="99"/>
      <c r="E164" s="355" t="str">
        <f>'Lang Rig'!F31</f>
        <v>他の場合：</v>
      </c>
      <c r="F164" s="700"/>
      <c r="G164" s="702"/>
      <c r="H164" s="130"/>
    </row>
    <row r="165" spans="1:10" ht="17.25" customHeight="1">
      <c r="A165" s="397"/>
      <c r="B165" s="17" t="str">
        <f>'Lang Rig'!G31</f>
        <v>No. of pairs of spreaders</v>
      </c>
      <c r="D165" s="194"/>
      <c r="G165" s="362"/>
    </row>
    <row r="166" spans="1:10" ht="17.25" customHeight="1">
      <c r="A166" s="397"/>
      <c r="B166" s="17" t="str">
        <f>'Lang Rig'!H31</f>
        <v>No. of pairs diamonds/jumpers</v>
      </c>
      <c r="D166" s="194"/>
      <c r="E166" s="377" t="str">
        <f>'Lang Rig'!K31</f>
        <v>（フラクショナルリグの前傾スプレッダー）</v>
      </c>
      <c r="H166" s="123"/>
      <c r="I166" s="123"/>
      <c r="J166" s="183"/>
    </row>
    <row r="167" spans="1:10" ht="17.25" customHeight="1">
      <c r="A167" s="397"/>
      <c r="B167" s="17" t="str">
        <f>'Lang Rig'!I31</f>
        <v>アフトステーの（組）数</v>
      </c>
      <c r="D167" s="193"/>
      <c r="E167" s="611" t="str">
        <f>'Lang Rig'!L31</f>
        <v>バックステイを含む、イラスト参照</v>
      </c>
      <c r="H167" s="346"/>
      <c r="I167" s="123"/>
      <c r="J167" s="183"/>
    </row>
    <row r="168" spans="1:10" ht="15" customHeight="1">
      <c r="E168" s="583" t="str">
        <f>'Lang Rig'!S31</f>
        <v>(Rig and Sails section)</v>
      </c>
      <c r="H168" s="130"/>
      <c r="J168" s="18"/>
    </row>
    <row r="169" spans="1:10" ht="21.75" customHeight="1">
      <c r="A169" s="397">
        <v>21.2</v>
      </c>
      <c r="B169" s="685" t="str">
        <f>'Lang Rig'!N31</f>
        <v>リグは、標準と違ったり、その他の特徴を持っている</v>
      </c>
      <c r="C169" s="685"/>
      <c r="D169" s="685"/>
      <c r="E169" s="125" t="s">
        <v>696</v>
      </c>
      <c r="F169" s="348" t="s">
        <v>696</v>
      </c>
      <c r="G169" s="17" t="str">
        <f>'Lang Rig'!P31</f>
        <v>yesの場合、下欄に詳細を記す</v>
      </c>
      <c r="H169" s="123"/>
      <c r="I169" s="123"/>
      <c r="J169" s="183"/>
    </row>
    <row r="170" spans="1:10" ht="17.25" customHeight="1">
      <c r="A170" s="397"/>
      <c r="C170" s="15"/>
      <c r="D170" s="15"/>
      <c r="E170" s="125"/>
      <c r="F170" s="348"/>
      <c r="G170" s="117"/>
    </row>
    <row r="171" spans="1:10" ht="18.75" customHeight="1">
      <c r="B171" s="17" t="str">
        <f>'Lang Rig'!D41</f>
        <v>Standing rigging material</v>
      </c>
      <c r="C171" s="117" t="s">
        <v>696</v>
      </c>
      <c r="D171" s="348" t="s">
        <v>696</v>
      </c>
    </row>
    <row r="172" spans="1:10" ht="19.5" customHeight="1">
      <c r="B172" s="17" t="str">
        <f>'Lang Rig'!E41</f>
        <v>’その他’の場合、詳細を記す</v>
      </c>
      <c r="C172" s="700"/>
      <c r="D172" s="701"/>
      <c r="E172" s="701"/>
      <c r="F172" s="701"/>
      <c r="G172" s="702"/>
    </row>
    <row r="173" spans="1:10" ht="19.5" customHeight="1">
      <c r="C173" s="123"/>
      <c r="D173" s="123"/>
      <c r="E173" s="123"/>
      <c r="F173" s="123"/>
      <c r="G173" s="419"/>
    </row>
    <row r="174" spans="1:10" ht="19.5" customHeight="1">
      <c r="B174" s="775" t="str">
        <f>'Lang Hull'!F48</f>
        <v>以下のような、もしくは本申告書にない特徴を持つ場合、PART 2を埋めて下さい</v>
      </c>
      <c r="C174" s="776"/>
      <c r="D174" s="776"/>
      <c r="E174" s="776"/>
      <c r="F174" s="776"/>
      <c r="G174" s="777"/>
    </row>
    <row r="175" spans="1:10" ht="19.5" customHeight="1">
      <c r="B175" s="778"/>
      <c r="C175" s="779"/>
      <c r="D175" s="779"/>
      <c r="E175" s="779"/>
      <c r="F175" s="779"/>
      <c r="G175" s="780"/>
    </row>
    <row r="176" spans="1:10" ht="17.25" customHeight="1">
      <c r="A176" s="125">
        <v>15</v>
      </c>
      <c r="B176" s="781" t="str">
        <f>'Lang Rig'!M51</f>
        <v>リグもしくはセール調整のための蓄力</v>
      </c>
      <c r="C176" s="782"/>
      <c r="D176" s="8"/>
      <c r="E176" s="454">
        <v>22.2</v>
      </c>
      <c r="F176" s="8" t="str">
        <f>'Lang Drops'!H112</f>
        <v>Bow thruster</v>
      </c>
      <c r="G176" s="420"/>
    </row>
    <row r="177" spans="1:10" ht="17.25" customHeight="1">
      <c r="A177" s="125" t="s">
        <v>4452</v>
      </c>
      <c r="B177" s="455" t="str">
        <f>'Lang Rig'!N51</f>
        <v>レース中のマストフット調整システム</v>
      </c>
      <c r="C177" s="8"/>
      <c r="D177" s="8"/>
      <c r="E177" s="454"/>
      <c r="F177" s="8"/>
      <c r="G177" s="420"/>
    </row>
    <row r="178" spans="1:10" ht="17.25" customHeight="1">
      <c r="A178" s="125" t="s">
        <v>4452</v>
      </c>
      <c r="B178" s="456" t="str">
        <f>'Lang Rig'!O51</f>
        <v>レース中のフォアステー長さ調整システム</v>
      </c>
      <c r="C178" s="6"/>
      <c r="D178" s="6"/>
      <c r="E178" s="6"/>
      <c r="F178" s="787"/>
      <c r="G178" s="844"/>
    </row>
    <row r="179" spans="1:10" ht="20.25" customHeight="1">
      <c r="A179" s="404"/>
      <c r="B179" s="651"/>
      <c r="C179" s="651"/>
      <c r="D179" s="651"/>
      <c r="E179" s="651"/>
      <c r="F179" s="651"/>
      <c r="G179" s="651"/>
      <c r="H179" s="130"/>
      <c r="J179" s="199"/>
    </row>
    <row r="180" spans="1:10" ht="18.75" customHeight="1">
      <c r="A180" s="397">
        <v>20</v>
      </c>
      <c r="B180" s="4" t="str">
        <f>'Lang Other'!E1</f>
        <v>Engine type</v>
      </c>
      <c r="C180" s="353"/>
      <c r="D180" s="838" t="str">
        <f>'Lang Other'!F1</f>
        <v>Engine weight</v>
      </c>
      <c r="E180" s="839"/>
      <c r="F180" s="553"/>
      <c r="G180" s="17" t="s">
        <v>3796</v>
      </c>
      <c r="I180" s="117"/>
      <c r="J180" s="18"/>
    </row>
    <row r="181" spans="1:10" ht="17.25" customHeight="1">
      <c r="A181" s="397"/>
      <c r="B181" s="4" t="str">
        <f>'Lang Other'!G1</f>
        <v>Make, model &amp; horsepower :</v>
      </c>
      <c r="C181" s="746"/>
      <c r="D181" s="843"/>
      <c r="E181" s="843"/>
      <c r="F181" s="843"/>
      <c r="G181" s="747"/>
      <c r="H181" s="117"/>
    </row>
    <row r="182" spans="1:10" ht="21" customHeight="1">
      <c r="B182" s="17" t="str">
        <f>'Lang Other'!H1</f>
        <v>Propeller type</v>
      </c>
      <c r="D182" s="4"/>
      <c r="E182" s="4"/>
      <c r="F182" s="4" t="str">
        <f>'Lang Other'!K1</f>
        <v>プロペラ数</v>
      </c>
      <c r="G182" s="154"/>
      <c r="H182" s="117"/>
    </row>
    <row r="184" spans="1:10" ht="28.5" customHeight="1">
      <c r="B184" s="3" t="str">
        <f>'Lang Rig'!N41</f>
        <v>OSR* lifelines を装備?</v>
      </c>
      <c r="C184" s="117" t="s">
        <v>696</v>
      </c>
      <c r="E184" s="4" t="str">
        <f>'Lang Rig'!O41</f>
        <v>*World Sailing Offshore Special Regulation 3.14</v>
      </c>
      <c r="F184" s="4"/>
      <c r="G184" s="4"/>
      <c r="H184" s="130"/>
    </row>
    <row r="185" spans="1:10" ht="19.5" customHeight="1">
      <c r="C185" s="3"/>
      <c r="D185" s="3"/>
      <c r="E185" s="3"/>
      <c r="F185" s="3"/>
      <c r="G185" s="3"/>
      <c r="H185" s="117"/>
    </row>
    <row r="186" spans="1:10" ht="19.5" customHeight="1">
      <c r="A186" s="397"/>
      <c r="B186" s="657" t="str">
        <f>'Lang Other'!J11</f>
        <v>オリジナル／標準仕様の変更</v>
      </c>
      <c r="C186" s="657"/>
      <c r="D186" s="657"/>
      <c r="E186" s="657"/>
      <c r="F186" s="657"/>
      <c r="G186" s="657"/>
      <c r="H186" s="5"/>
    </row>
    <row r="187" spans="1:10" ht="19.5" customHeight="1">
      <c r="A187" s="397"/>
      <c r="B187" s="663" t="str">
        <f>'Lang Other'!K11</f>
        <v>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v>
      </c>
      <c r="C187" s="663"/>
      <c r="D187" s="663"/>
      <c r="E187" s="663"/>
      <c r="F187" s="663"/>
      <c r="G187" s="663"/>
      <c r="H187" s="221"/>
    </row>
    <row r="188" spans="1:10" ht="15" customHeight="1">
      <c r="A188" s="397"/>
      <c r="B188" s="663"/>
      <c r="C188" s="663"/>
      <c r="D188" s="663"/>
      <c r="E188" s="663"/>
      <c r="F188" s="663"/>
      <c r="G188" s="663"/>
      <c r="H188" s="124"/>
    </row>
    <row r="189" spans="1:10" ht="17.25" customHeight="1">
      <c r="A189" s="397"/>
      <c r="B189" s="663"/>
      <c r="C189" s="663"/>
      <c r="D189" s="663"/>
      <c r="E189" s="663"/>
      <c r="F189" s="663"/>
      <c r="G189" s="663"/>
    </row>
    <row r="190" spans="1:10" ht="17.25" customHeight="1">
      <c r="A190" s="397"/>
      <c r="B190" s="774" t="str">
        <f>'Lang Pay'!I36</f>
        <v>yesの場合、下に詳細を記す</v>
      </c>
      <c r="C190" s="774"/>
      <c r="D190" s="774"/>
      <c r="E190" s="421"/>
      <c r="F190" s="421"/>
      <c r="G190" s="421"/>
      <c r="H190" s="117"/>
    </row>
    <row r="191" spans="1:10" ht="15" customHeight="1">
      <c r="A191" s="361"/>
      <c r="B191" s="789"/>
      <c r="C191" s="790"/>
      <c r="D191" s="790"/>
      <c r="E191" s="790"/>
      <c r="F191" s="790"/>
      <c r="G191" s="791"/>
      <c r="H191" s="124"/>
    </row>
    <row r="192" spans="1:10" ht="15" customHeight="1">
      <c r="A192" s="361"/>
      <c r="B192" s="792"/>
      <c r="C192" s="793"/>
      <c r="D192" s="793"/>
      <c r="E192" s="793"/>
      <c r="F192" s="793"/>
      <c r="G192" s="794"/>
      <c r="H192" s="124"/>
    </row>
    <row r="193" spans="1:11" ht="19.5" customHeight="1">
      <c r="A193" s="361"/>
      <c r="B193" s="795"/>
      <c r="C193" s="796"/>
      <c r="D193" s="796"/>
      <c r="E193" s="796"/>
      <c r="F193" s="796"/>
      <c r="G193" s="797"/>
      <c r="H193" s="124"/>
    </row>
    <row r="194" spans="1:11" ht="19.5" customHeight="1">
      <c r="B194" s="352"/>
      <c r="C194" s="352"/>
      <c r="D194" s="352"/>
      <c r="E194" s="352"/>
      <c r="F194" s="352"/>
      <c r="G194" s="352"/>
      <c r="H194" s="124"/>
    </row>
    <row r="195" spans="1:11" ht="19.5" customHeight="1">
      <c r="A195" s="351" t="s">
        <v>4505</v>
      </c>
      <c r="B195" s="786" t="str">
        <f>'Lang Boat'!E1</f>
        <v>PART2 - オーナーに申告義務がある項目</v>
      </c>
      <c r="C195" s="786"/>
      <c r="D195" s="786"/>
      <c r="E195" s="786"/>
      <c r="F195" s="786"/>
      <c r="G195" s="786"/>
      <c r="H195" s="124" t="s">
        <v>4509</v>
      </c>
    </row>
    <row r="196" spans="1:11" ht="19.5" customHeight="1">
      <c r="A196" s="351" t="s">
        <v>4725</v>
      </c>
      <c r="B196" s="657" t="str">
        <f>'Lang Hull'!U1</f>
        <v>ハルとアペンデージ</v>
      </c>
      <c r="C196" s="657"/>
      <c r="D196" s="657"/>
      <c r="E196" s="657"/>
      <c r="F196" s="657"/>
      <c r="G196" s="657"/>
      <c r="H196" s="124"/>
    </row>
    <row r="197" spans="1:11" ht="17.25" customHeight="1">
      <c r="A197" s="397">
        <v>19</v>
      </c>
      <c r="B197" s="17" t="str">
        <f>'Lang Hull'!O1</f>
        <v>Trim tab(s)</v>
      </c>
      <c r="C197" s="17" t="str">
        <f>'Lang Hull'!P1</f>
        <v>Daggerboards (keel以外)</v>
      </c>
      <c r="D197" s="18"/>
      <c r="E197" s="18"/>
      <c r="F197" s="17" t="str">
        <f>'Lang Hull'!Q1</f>
        <v>Canard/forward rudder</v>
      </c>
      <c r="G197" s="402"/>
    </row>
    <row r="198" spans="1:11" ht="21.75" customHeight="1">
      <c r="A198" s="397"/>
      <c r="B198" s="99"/>
      <c r="C198" s="99"/>
      <c r="D198" s="99"/>
    </row>
    <row r="199" spans="1:11" ht="17.25" customHeight="1">
      <c r="A199" s="397">
        <v>19.600000000000001</v>
      </c>
      <c r="B199" s="685" t="str">
        <f>IF(OR((C345&gt;10),(C345&lt;14)),'Lang Hull'!X28,"")</f>
        <v>キールフィン内の材料。(IIRC Rule 19.6)</v>
      </c>
      <c r="C199" s="685"/>
      <c r="D199" s="685"/>
      <c r="E199" s="12"/>
      <c r="F199" s="4" t="s">
        <v>3796</v>
      </c>
      <c r="H199" s="411"/>
    </row>
    <row r="200" spans="1:11" ht="24" customHeight="1">
      <c r="A200" s="125">
        <v>22.2</v>
      </c>
      <c r="B200" s="663" t="str">
        <f>'Lang Hull'!U15</f>
        <v>Hull Hollows：最大ビームから後方で、喫水線より上のハル断面に、ホロー（凹断面）がありますか？</v>
      </c>
      <c r="C200" s="663"/>
      <c r="D200" s="663"/>
      <c r="E200" s="663"/>
      <c r="G200" s="17" t="str">
        <f>'Lang Hull'!V15</f>
        <v>YESなら、写真／図面を提出のこと</v>
      </c>
    </row>
    <row r="201" spans="1:11" ht="17.25" customHeight="1">
      <c r="B201" s="663"/>
      <c r="C201" s="663"/>
      <c r="D201" s="663"/>
      <c r="E201" s="663"/>
      <c r="F201" s="3"/>
    </row>
    <row r="202" spans="1:11" ht="22.5" customHeight="1">
      <c r="A202" s="125">
        <v>22.3</v>
      </c>
      <c r="B202" s="685" t="str">
        <f>'Lang Hull'!Q28</f>
        <v>ウォーターバラストを備えている？</v>
      </c>
      <c r="C202" s="752"/>
      <c r="F202" s="343" t="str">
        <f>IF($C$363=2,'Lang Hull'!Z38,"")</f>
        <v/>
      </c>
      <c r="J202" s="17"/>
    </row>
    <row r="203" spans="1:11" ht="17.25" customHeight="1">
      <c r="A203" s="491"/>
      <c r="B203" s="4" t="str">
        <f>'Lang Hull'!R28</f>
        <v>片舷最大搭載水量（リットル）</v>
      </c>
      <c r="D203" s="303"/>
      <c r="E203" s="846" t="str">
        <f>'Lang Hull'!F15</f>
        <v>情報元</v>
      </c>
      <c r="F203" s="847"/>
      <c r="G203" s="12"/>
      <c r="J203" s="17"/>
    </row>
    <row r="204" spans="1:11" ht="24" customHeight="1">
      <c r="A204" s="125">
        <v>22.3</v>
      </c>
      <c r="B204" s="809" t="str">
        <f>'Lang Hull'!E48</f>
        <v>カンティングキールを備えていますか？</v>
      </c>
      <c r="C204" s="809"/>
      <c r="D204" s="398"/>
      <c r="E204" s="205"/>
      <c r="F204" s="343"/>
      <c r="J204" s="17"/>
    </row>
    <row r="205" spans="1:11" ht="17.25" customHeight="1">
      <c r="A205" s="125">
        <v>22.3</v>
      </c>
      <c r="B205" s="663" t="str">
        <f>'Lang Hull'!O48</f>
        <v>傾斜角</v>
      </c>
      <c r="C205" s="663"/>
      <c r="D205" s="193"/>
      <c r="E205" s="846" t="str">
        <f>'Lang Hull'!F15</f>
        <v>情報元</v>
      </c>
      <c r="F205" s="847"/>
      <c r="G205" s="12"/>
      <c r="J205" s="17"/>
    </row>
    <row r="206" spans="1:11" ht="17.25" customHeight="1">
      <c r="A206" s="491"/>
      <c r="B206" s="410" t="str">
        <f>'Lang Hull'!V28</f>
        <v>(degrees)</v>
      </c>
      <c r="C206" s="410"/>
      <c r="D206" s="410"/>
      <c r="E206" s="467"/>
      <c r="G206" s="343"/>
      <c r="J206" s="17"/>
    </row>
    <row r="207" spans="1:11" ht="26.25" customHeight="1">
      <c r="B207" s="663" t="str">
        <f>'Lang Hull'!X38</f>
        <v>リフトを発生するフォイルを備えていますか？</v>
      </c>
      <c r="C207" s="663"/>
      <c r="D207" s="410"/>
      <c r="E207" s="467"/>
      <c r="F207" s="663" t="str">
        <f>'Lang Hull'!Y38</f>
        <v>If yes, the Rating Authority will contact you for more information and measurements</v>
      </c>
      <c r="G207" s="663"/>
      <c r="H207" s="663"/>
      <c r="I207" s="663"/>
      <c r="J207" s="663"/>
      <c r="K207" s="663"/>
    </row>
    <row r="208" spans="1:11" ht="17.25" customHeight="1">
      <c r="J208" s="17"/>
    </row>
    <row r="209" spans="1:10" ht="21" customHeight="1">
      <c r="A209" s="125">
        <v>22.2</v>
      </c>
      <c r="B209" s="1" t="str">
        <f>'Lang Drops'!H112</f>
        <v>Bow thruster</v>
      </c>
      <c r="C209" s="422"/>
      <c r="D209" s="422"/>
      <c r="E209" s="422"/>
      <c r="F209" s="422"/>
      <c r="G209" s="422"/>
      <c r="H209" s="130"/>
    </row>
    <row r="210" spans="1:10" ht="17.25" customHeight="1">
      <c r="B210" s="410"/>
      <c r="C210" s="410"/>
      <c r="D210" s="410"/>
      <c r="E210" s="400"/>
      <c r="F210" s="400"/>
      <c r="J210" s="17"/>
    </row>
    <row r="211" spans="1:10" ht="19.5" customHeight="1">
      <c r="B211" s="680" t="str">
        <f>'Lang Rig'!D1</f>
        <v>RIG and SAILS</v>
      </c>
      <c r="C211" s="680"/>
      <c r="D211" s="680"/>
      <c r="E211" s="680"/>
      <c r="F211" s="680"/>
      <c r="G211" s="680"/>
    </row>
    <row r="212" spans="1:10" ht="19.5" customHeight="1">
      <c r="B212" s="117" t="str">
        <f>'Lang Rig'!G1</f>
        <v>Mizzen or aft mast</v>
      </c>
      <c r="G212" s="647" t="str">
        <f>'Lang Rig'!H1</f>
        <v>情報元</v>
      </c>
    </row>
    <row r="213" spans="1:10" ht="17.05" customHeight="1">
      <c r="A213" s="125" t="s">
        <v>4425</v>
      </c>
      <c r="B213" s="17" t="str">
        <f>'Lang Rig'!I51</f>
        <v>ミズンアッパーリミット</v>
      </c>
      <c r="C213" s="122" t="s">
        <v>367</v>
      </c>
      <c r="D213" s="189"/>
      <c r="G213" s="299"/>
    </row>
    <row r="214" spans="1:10" ht="17.05" customHeight="1">
      <c r="B214" s="17" t="str">
        <f>'Lang Rig'!J51</f>
        <v>ミズンアウターリミット</v>
      </c>
      <c r="C214" s="125" t="s">
        <v>369</v>
      </c>
      <c r="D214" s="189"/>
      <c r="F214" s="374"/>
      <c r="G214" s="191"/>
    </row>
    <row r="215" spans="1:10" ht="17.05" customHeight="1">
      <c r="C215" s="125"/>
      <c r="D215" s="619"/>
      <c r="F215" s="622"/>
      <c r="G215" s="362"/>
    </row>
    <row r="216" spans="1:10" ht="17.05" customHeight="1">
      <c r="C216" s="690" t="str">
        <f>'Lang Rig'!D81</f>
        <v>セイル ID:IHC # またはその他の識別子</v>
      </c>
      <c r="D216" s="690"/>
      <c r="E216" s="691"/>
      <c r="F216" s="643"/>
      <c r="G216" s="647" t="str">
        <f>'Lang Rig'!H1</f>
        <v>情報元</v>
      </c>
    </row>
    <row r="217" spans="1:10" ht="17.05" customHeight="1">
      <c r="A217" s="125" t="s">
        <v>4424</v>
      </c>
      <c r="B217" s="17" t="str">
        <f>'Lang Rig'!T21</f>
        <v>Mizzen staysail HLU</v>
      </c>
      <c r="C217" s="125" t="s">
        <v>646</v>
      </c>
      <c r="D217" s="189"/>
      <c r="G217" s="191"/>
    </row>
    <row r="218" spans="1:10" ht="17.05" customHeight="1">
      <c r="B218" s="17" t="str">
        <f>'Lang Rig'!S21</f>
        <v>Mizzen staysail HLP</v>
      </c>
      <c r="C218" s="122" t="s">
        <v>2917</v>
      </c>
      <c r="D218" s="189"/>
      <c r="G218" s="191"/>
    </row>
    <row r="219" spans="1:10" ht="19.5" customHeight="1">
      <c r="B219" s="352"/>
      <c r="C219" s="352"/>
      <c r="D219" s="352"/>
      <c r="E219" s="352"/>
      <c r="F219" s="352"/>
      <c r="G219" s="352"/>
      <c r="H219" s="124"/>
    </row>
    <row r="220" spans="1:10" ht="21" customHeight="1">
      <c r="A220" s="397">
        <v>15.2</v>
      </c>
      <c r="B220" s="663" t="str">
        <f>'Lang Other'!E11</f>
        <v>動力をランニングリギン（メインセールハリヤードとセイルのリーフィングおよびファーリングを除く）の操作・調整に使っていますか？</v>
      </c>
      <c r="C220" s="663"/>
      <c r="D220" s="663"/>
      <c r="E220" s="663"/>
      <c r="F220" s="663"/>
      <c r="H220" s="130"/>
    </row>
    <row r="221" spans="1:10" ht="15" customHeight="1">
      <c r="A221" s="405"/>
      <c r="B221" s="663"/>
      <c r="C221" s="663"/>
      <c r="D221" s="663"/>
      <c r="E221" s="663"/>
      <c r="F221" s="663"/>
      <c r="G221" s="100"/>
    </row>
    <row r="222" spans="1:10" ht="22.5" customHeight="1">
      <c r="A222" s="125" t="s">
        <v>4452</v>
      </c>
      <c r="B222" s="699" t="str">
        <f>'Lang Other'!G11</f>
        <v>マストフットを調整するシステムがボートに備わっている、もしくは、搭載されていますか？(rule 21.1.6 (b))</v>
      </c>
      <c r="C222" s="699"/>
      <c r="D222" s="699"/>
      <c r="E222" s="699" t="str">
        <f>'Lang Other'!I11</f>
        <v>フォアステー：フォアステーを調整するシステムがボートに備わっている、もしくは、搭載されていますか？(rule 21.1.6 (b))</v>
      </c>
      <c r="F222" s="699"/>
      <c r="G222" s="699"/>
      <c r="H222" s="130"/>
      <c r="J222" s="199"/>
    </row>
    <row r="223" spans="1:10" ht="14.25" customHeight="1">
      <c r="B223" s="699"/>
      <c r="C223" s="699"/>
      <c r="D223" s="699"/>
      <c r="E223" s="699"/>
      <c r="F223" s="699"/>
      <c r="G223" s="699"/>
      <c r="J223" s="18"/>
    </row>
    <row r="224" spans="1:10" ht="15" customHeight="1">
      <c r="J224" s="18"/>
    </row>
    <row r="225" spans="1:8" ht="19.5" customHeight="1">
      <c r="B225" s="352"/>
      <c r="C225" s="352"/>
      <c r="D225" s="352"/>
      <c r="E225" s="352"/>
      <c r="F225" s="352"/>
      <c r="G225" s="352"/>
      <c r="H225" s="124"/>
    </row>
    <row r="226" spans="1:8" ht="19.5" customHeight="1">
      <c r="B226" s="657" t="str">
        <f>'Lang Other'!L1</f>
        <v>STANDARD FITOUT</v>
      </c>
      <c r="C226" s="657"/>
      <c r="D226" s="657"/>
      <c r="E226" s="657"/>
      <c r="F226" s="657"/>
      <c r="G226" s="657"/>
      <c r="H226" s="138"/>
    </row>
    <row r="227" spans="1:8" ht="19.5" customHeight="1">
      <c r="A227" s="397" t="s">
        <v>4473</v>
      </c>
      <c r="B227" s="17" t="str">
        <f>'Lang Other'!M1</f>
        <v>スタンダード船内装備で、取り外したり変更したものの詳細を申告して下さい</v>
      </c>
      <c r="F227" s="679" t="str">
        <f>'Lang Other'!T1</f>
        <v>ルール22.2.2参照 (HF+)</v>
      </c>
      <c r="G227" s="679"/>
      <c r="H227" s="130"/>
    </row>
    <row r="228" spans="1:8" ht="17.25" customHeight="1">
      <c r="A228" s="397"/>
      <c r="B228" s="17" t="str">
        <f>'Lang Other'!N1</f>
        <v>Table removed</v>
      </c>
      <c r="C228" s="378"/>
      <c r="D228" s="674" t="str">
        <f>'Lang Other'!O1</f>
        <v>標準以外のテーブル装備？</v>
      </c>
      <c r="E228" s="674"/>
      <c r="F228" s="674"/>
      <c r="G228" s="424" t="str">
        <f>'Lang Other'!S1</f>
        <v>If Yes, 詳細</v>
      </c>
    </row>
    <row r="229" spans="1:8" ht="17.25" customHeight="1">
      <c r="A229" s="397"/>
      <c r="B229" s="17" t="str">
        <f>'Lang Other'!P1</f>
        <v>Doors removed?</v>
      </c>
      <c r="D229" s="685" t="str">
        <f>'Lang Other'!Q1</f>
        <v>数</v>
      </c>
      <c r="E229" s="686"/>
      <c r="F229" s="193"/>
      <c r="H229" s="140"/>
    </row>
    <row r="230" spans="1:8" ht="17.25" customHeight="1">
      <c r="A230" s="397"/>
      <c r="B230" s="17" t="str">
        <f>'Lang Other'!R1</f>
        <v xml:space="preserve">その他 </v>
      </c>
      <c r="D230" s="117" t="str">
        <f>'Lang Other'!S1</f>
        <v>If Yes, 詳細</v>
      </c>
      <c r="F230" s="379"/>
      <c r="H230" s="138"/>
    </row>
    <row r="231" spans="1:8" ht="19.5" customHeight="1">
      <c r="A231" s="361"/>
      <c r="B231" s="692"/>
      <c r="C231" s="693"/>
      <c r="D231" s="693"/>
      <c r="E231" s="693"/>
      <c r="F231" s="693"/>
      <c r="G231" s="694"/>
      <c r="H231" s="117"/>
    </row>
    <row r="232" spans="1:8" ht="10.5" customHeight="1">
      <c r="A232" s="361"/>
      <c r="B232" s="695"/>
      <c r="C232" s="696"/>
      <c r="D232" s="696"/>
      <c r="E232" s="696"/>
      <c r="F232" s="696"/>
      <c r="G232" s="697"/>
      <c r="H232" s="126"/>
    </row>
    <row r="233" spans="1:8" ht="20.25" customHeight="1">
      <c r="B233" s="423"/>
      <c r="C233" s="423"/>
      <c r="D233" s="423"/>
      <c r="E233" s="423"/>
      <c r="F233" s="423"/>
      <c r="G233" s="423"/>
      <c r="H233" s="126"/>
    </row>
    <row r="234" spans="1:8" ht="17.25" customHeight="1">
      <c r="B234" s="698" t="str">
        <f>'Lang Boat'!F1</f>
        <v>パート3 - すべてのボート</v>
      </c>
      <c r="C234" s="698"/>
      <c r="D234" s="698"/>
      <c r="E234" s="698"/>
      <c r="F234" s="698"/>
      <c r="G234" s="698"/>
    </row>
    <row r="235" spans="1:8" ht="17.25" customHeight="1">
      <c r="B235" s="425"/>
      <c r="C235" s="425"/>
      <c r="D235" s="425"/>
      <c r="E235" s="425"/>
      <c r="F235" s="425"/>
      <c r="G235" s="425"/>
    </row>
    <row r="236" spans="1:8" ht="19.5" customHeight="1">
      <c r="B236" s="656" t="str">
        <f>'Lang Other'!K21</f>
        <v>メジャラー氏名/登録番号</v>
      </c>
      <c r="C236" s="656"/>
      <c r="D236" s="664"/>
      <c r="E236" s="665"/>
      <c r="F236" s="665"/>
      <c r="G236" s="666"/>
      <c r="H236" s="124"/>
    </row>
    <row r="237" spans="1:8" ht="19.5" customHeight="1">
      <c r="B237" s="656"/>
      <c r="C237" s="656"/>
      <c r="D237" s="664"/>
      <c r="E237" s="665"/>
      <c r="F237" s="665"/>
      <c r="G237" s="666"/>
      <c r="H237" s="124"/>
    </row>
    <row r="238" spans="1:8" ht="19.5" customHeight="1">
      <c r="B238" s="427"/>
      <c r="C238" s="427"/>
      <c r="D238" s="428"/>
      <c r="E238" s="428"/>
      <c r="F238" s="428"/>
      <c r="G238" s="428"/>
      <c r="H238" s="124"/>
    </row>
    <row r="239" spans="1:8" ht="19.5" customHeight="1">
      <c r="B239" s="657" t="str">
        <f>'Lang Other'!D21</f>
        <v>宣誓</v>
      </c>
      <c r="C239" s="657"/>
      <c r="D239" s="657"/>
      <c r="E239" s="657"/>
      <c r="F239" s="657"/>
      <c r="G239" s="657"/>
      <c r="H239" s="124"/>
    </row>
    <row r="240" spans="1:8" ht="17.25" customHeight="1">
      <c r="A240" s="397"/>
      <c r="B240" s="663" t="str">
        <f>'Lang Other'!E21</f>
        <v>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v>
      </c>
      <c r="C240" s="663"/>
      <c r="D240" s="663"/>
      <c r="E240" s="663"/>
      <c r="F240" s="663"/>
      <c r="G240" s="663"/>
      <c r="H240" s="220"/>
    </row>
    <row r="241" spans="1:8" ht="17.25" customHeight="1">
      <c r="A241" s="397"/>
      <c r="B241" s="663"/>
      <c r="C241" s="663"/>
      <c r="D241" s="663"/>
      <c r="E241" s="663"/>
      <c r="F241" s="663"/>
      <c r="G241" s="663"/>
      <c r="H241" s="124"/>
    </row>
    <row r="242" spans="1:8" ht="17.25" customHeight="1">
      <c r="A242" s="397"/>
      <c r="B242" s="663"/>
      <c r="C242" s="663"/>
      <c r="D242" s="663"/>
      <c r="E242" s="663"/>
      <c r="F242" s="663"/>
      <c r="G242" s="663"/>
      <c r="H242" s="124"/>
    </row>
    <row r="243" spans="1:8" ht="17.25" customHeight="1">
      <c r="A243" s="397"/>
      <c r="B243" s="677" t="str">
        <f>'Lang Other'!F21</f>
        <v>上記を読み同意しました</v>
      </c>
      <c r="C243" s="677"/>
      <c r="D243" s="677"/>
      <c r="E243" s="353" t="str">
        <f>'Lang Other'!G21</f>
        <v>氏名</v>
      </c>
      <c r="F243" s="675"/>
      <c r="G243" s="676"/>
    </row>
    <row r="244" spans="1:8" ht="17.25" customHeight="1">
      <c r="A244" s="397"/>
      <c r="E244" s="353" t="str">
        <f>'Lang Other'!H21</f>
        <v>日付</v>
      </c>
      <c r="F244" s="671"/>
      <c r="G244" s="672"/>
    </row>
    <row r="245" spans="1:8" ht="17.25" customHeight="1"/>
    <row r="246" spans="1:8" ht="19.5" customHeight="1">
      <c r="B246" s="673">
        <f>'Lang Other'!F31</f>
        <v>0</v>
      </c>
      <c r="C246" s="673"/>
      <c r="D246" s="673"/>
      <c r="E246" s="673"/>
      <c r="F246" s="673"/>
      <c r="G246" s="673"/>
    </row>
    <row r="247" spans="1:8" ht="19.5" customHeight="1">
      <c r="B247" s="18"/>
      <c r="C247" s="18"/>
      <c r="D247" s="18"/>
      <c r="E247" s="18"/>
      <c r="F247" s="18"/>
      <c r="G247" s="18"/>
    </row>
    <row r="248" spans="1:8" ht="19.5" customHeight="1">
      <c r="A248" s="397"/>
      <c r="B248" s="657" t="str">
        <f>'Lang Pay'!D1</f>
        <v>OWNER AND PAYMENT DETAILS</v>
      </c>
      <c r="C248" s="657"/>
      <c r="D248" s="657"/>
      <c r="E248" s="351"/>
      <c r="F248" s="351"/>
      <c r="G248" s="351"/>
    </row>
    <row r="249" spans="1:8" ht="19.5" customHeight="1">
      <c r="A249" s="397"/>
      <c r="B249" s="678" t="str">
        <f>'Lang Pay'!E1</f>
        <v>If owner is a Company, enter Company name in 'Surname/Family name (s)'</v>
      </c>
      <c r="C249" s="678"/>
      <c r="D249" s="678"/>
      <c r="E249" s="678"/>
      <c r="F249" s="678"/>
      <c r="G249" s="678"/>
      <c r="H249" s="426"/>
    </row>
    <row r="250" spans="1:8" ht="17.05" customHeight="1">
      <c r="A250" s="397"/>
      <c r="B250" s="355" t="str">
        <f>'Lang Pay'!F1</f>
        <v>Surname / Family name (s)</v>
      </c>
      <c r="C250" s="700"/>
      <c r="D250" s="701"/>
      <c r="E250" s="701"/>
      <c r="F250" s="701"/>
      <c r="G250" s="702"/>
    </row>
    <row r="251" spans="1:8" ht="17.05" customHeight="1">
      <c r="A251" s="397"/>
      <c r="B251" s="355" t="str">
        <f>'Lang Pay'!G1</f>
        <v>First / given name(s)</v>
      </c>
      <c r="C251" s="658"/>
      <c r="D251" s="659"/>
      <c r="E251" s="659"/>
      <c r="F251" s="659"/>
      <c r="G251" s="660"/>
    </row>
    <row r="252" spans="1:8" ht="17.05" customHeight="1">
      <c r="A252" s="397"/>
      <c r="B252" s="380" t="str">
        <f>'Lang Pay'!H1</f>
        <v>User/charterer name if different</v>
      </c>
      <c r="C252" s="668"/>
      <c r="D252" s="669"/>
      <c r="E252" s="669"/>
      <c r="F252" s="669"/>
      <c r="G252" s="670"/>
    </row>
    <row r="253" spans="1:8" ht="17.05" customHeight="1">
      <c r="A253" s="397"/>
      <c r="B253" s="353" t="str">
        <f>'Lang Pay'!I1</f>
        <v>Address for correspondence 1</v>
      </c>
      <c r="C253" s="658"/>
      <c r="D253" s="659"/>
      <c r="E253" s="659"/>
      <c r="F253" s="659"/>
      <c r="G253" s="660"/>
    </row>
    <row r="254" spans="1:8" ht="17.05" customHeight="1">
      <c r="A254" s="397"/>
      <c r="B254" s="353" t="str">
        <f>'Lang Pay'!J1</f>
        <v>Address 2</v>
      </c>
      <c r="C254" s="658"/>
      <c r="D254" s="659"/>
      <c r="E254" s="659"/>
      <c r="F254" s="659"/>
      <c r="G254" s="660"/>
    </row>
    <row r="255" spans="1:8" ht="17.05" customHeight="1">
      <c r="A255" s="397"/>
      <c r="B255" s="353" t="str">
        <f>'Lang Pay'!K1</f>
        <v>Address 3</v>
      </c>
      <c r="C255" s="658"/>
      <c r="D255" s="659"/>
      <c r="E255" s="659"/>
      <c r="F255" s="659"/>
      <c r="G255" s="660"/>
    </row>
    <row r="256" spans="1:8" ht="17.05" customHeight="1">
      <c r="A256" s="397"/>
      <c r="B256" s="353" t="str">
        <f>'Lang Pay'!L1</f>
        <v>TOWN</v>
      </c>
      <c r="C256" s="658"/>
      <c r="D256" s="659"/>
      <c r="E256" s="659"/>
      <c r="F256" s="659"/>
      <c r="G256" s="660"/>
      <c r="H256" s="127"/>
    </row>
    <row r="257" spans="1:10" ht="17.05" customHeight="1">
      <c r="A257" s="397"/>
      <c r="B257" s="353" t="str">
        <f>'Lang Pay'!M1</f>
        <v>Post / zip code</v>
      </c>
      <c r="C257" s="658"/>
      <c r="D257" s="659"/>
      <c r="E257" s="660"/>
      <c r="F257" s="381" t="str">
        <f>'Lang Pay'!P1</f>
        <v>Telephone</v>
      </c>
      <c r="G257" s="191"/>
    </row>
    <row r="258" spans="1:10" ht="17.05" customHeight="1">
      <c r="A258" s="397"/>
      <c r="B258" s="353" t="str">
        <f>'Lang Pay'!U1</f>
        <v>Residential Geographic Area*</v>
      </c>
      <c r="C258" s="748"/>
      <c r="D258" s="748"/>
      <c r="E258" s="748"/>
      <c r="F258" s="353" t="str">
        <f>'Lang Pay'!Q1</f>
        <v>Mobile</v>
      </c>
      <c r="G258" s="191"/>
      <c r="H258" s="5"/>
    </row>
    <row r="259" spans="1:10" ht="17.05" customHeight="1">
      <c r="A259" s="397"/>
      <c r="B259" s="353" t="str">
        <f>'Lang Pay'!N1</f>
        <v>Country</v>
      </c>
      <c r="C259" s="667"/>
      <c r="D259" s="667"/>
      <c r="E259" s="667"/>
      <c r="F259" s="9" t="str">
        <f>IF($C$398=6,'Lang Other'!L21,"")</f>
        <v/>
      </c>
      <c r="G259" s="614"/>
      <c r="H259" s="5"/>
    </row>
    <row r="260" spans="1:10" ht="17.05" customHeight="1">
      <c r="A260" s="397"/>
      <c r="B260" s="355" t="str">
        <f>'Lang Pay'!O1</f>
        <v>E-mail address</v>
      </c>
      <c r="C260" s="653"/>
      <c r="D260" s="654"/>
      <c r="E260" s="654"/>
      <c r="F260" s="654"/>
      <c r="G260" s="655"/>
      <c r="H260" s="5"/>
    </row>
    <row r="261" spans="1:10" ht="19.5" customHeight="1">
      <c r="A261" s="397"/>
      <c r="B261" s="661" t="str">
        <f>'Lang Other'!I21</f>
        <v>The IRC Rating Authority will never supply IRC owner contact details to third parties</v>
      </c>
      <c r="C261" s="662"/>
      <c r="D261" s="662"/>
      <c r="E261" s="662"/>
      <c r="F261" s="662"/>
      <c r="G261" s="662"/>
      <c r="H261" s="5"/>
    </row>
    <row r="262" spans="1:10" ht="19.5" customHeight="1">
      <c r="A262" s="397"/>
      <c r="B262" s="704" t="str">
        <f>'Lang Pay'!S1</f>
        <v>Please select your RATING AUTHORITY and SAILING AREA from the boxes below:</v>
      </c>
      <c r="C262" s="704"/>
      <c r="D262" s="704"/>
      <c r="E262" s="704"/>
      <c r="F262" s="704"/>
      <c r="G262" s="704"/>
      <c r="H262" s="130"/>
    </row>
    <row r="263" spans="1:10" ht="19.5" customHeight="1">
      <c r="A263" s="397"/>
      <c r="B263" s="117" t="s">
        <v>4489</v>
      </c>
      <c r="C263" s="348"/>
      <c r="D263" s="348"/>
      <c r="G263" s="17" t="s">
        <v>4168</v>
      </c>
    </row>
    <row r="264" spans="1:10" ht="19.5" customHeight="1">
      <c r="A264" s="397"/>
      <c r="B264" s="126" t="str">
        <f>'Lang Pay'!T1</f>
        <v>Sailing area - country/region</v>
      </c>
      <c r="C264" s="348"/>
      <c r="E264" s="126"/>
      <c r="F264" s="348"/>
      <c r="G264" s="17" t="s">
        <v>4169</v>
      </c>
    </row>
    <row r="265" spans="1:10" ht="19.5" customHeight="1">
      <c r="A265" s="397"/>
      <c r="B265" s="353" t="str">
        <f>'Lang Pay'!D13</f>
        <v>RORC member No. if applicable</v>
      </c>
      <c r="C265" s="746"/>
      <c r="D265" s="747"/>
      <c r="G265" s="681" t="s">
        <v>3707</v>
      </c>
      <c r="H265" s="681"/>
    </row>
    <row r="266" spans="1:10" ht="19.5" customHeight="1">
      <c r="A266" s="397"/>
      <c r="B266" s="353">
        <f>'Lang Pay'!T13</f>
        <v>0</v>
      </c>
      <c r="C266" s="746"/>
      <c r="D266" s="747"/>
      <c r="H266" s="130"/>
    </row>
    <row r="267" spans="1:10" s="285" customFormat="1" ht="19.5" customHeight="1">
      <c r="A267" s="429"/>
      <c r="B267" s="657" t="str">
        <f>'Lang Pay'!N25</f>
        <v>Application fee and payment</v>
      </c>
      <c r="C267" s="657"/>
      <c r="D267" s="430"/>
      <c r="E267" s="430"/>
      <c r="F267" s="430"/>
      <c r="G267" s="430"/>
      <c r="H267" s="130"/>
      <c r="J267" s="286"/>
    </row>
    <row r="268" spans="1:10" ht="17.25" customHeight="1">
      <c r="A268" s="406"/>
      <c r="B268" s="353" t="str">
        <f>'Lang Pay'!G13</f>
        <v>Card type</v>
      </c>
      <c r="C268" s="749"/>
      <c r="D268" s="750"/>
      <c r="E268" s="750"/>
      <c r="F268" s="751"/>
    </row>
    <row r="269" spans="1:10" ht="17.25" customHeight="1">
      <c r="A269" s="406"/>
      <c r="B269" s="353" t="str">
        <f>'Lang Pay'!I13</f>
        <v>Card number</v>
      </c>
      <c r="C269" s="658"/>
      <c r="D269" s="659"/>
      <c r="E269" s="659"/>
      <c r="F269" s="659"/>
      <c r="G269" s="660"/>
    </row>
    <row r="270" spans="1:10" ht="15" customHeight="1">
      <c r="A270" s="406"/>
      <c r="B270" s="353" t="str">
        <f>'Lang Pay'!J13</f>
        <v>Expiry</v>
      </c>
      <c r="C270" s="353" t="str">
        <f>'Lang Pay'!K13</f>
        <v>Month</v>
      </c>
      <c r="D270" s="299"/>
      <c r="E270" s="353" t="str">
        <f>'Lang Pay'!L13</f>
        <v>Year</v>
      </c>
      <c r="F270" s="299"/>
      <c r="G270" s="433" t="str">
        <f>'Lang Pay'!M13</f>
        <v>Required for all cards</v>
      </c>
    </row>
    <row r="271" spans="1:10" ht="18" customHeight="1">
      <c r="A271" s="406"/>
      <c r="B271" s="744" t="str">
        <f>'Lang Pay'!N13</f>
        <v>Security number  (last 3 digits on reverse of card)</v>
      </c>
      <c r="C271" s="744"/>
      <c r="D271" s="744"/>
      <c r="E271" s="744"/>
      <c r="F271" s="191"/>
      <c r="G271" s="434" t="str">
        <f>G270</f>
        <v>Required for all cards</v>
      </c>
    </row>
    <row r="272" spans="1:10" ht="15" customHeight="1">
      <c r="A272" s="406"/>
      <c r="B272" s="353" t="str">
        <f>'Lang Pay'!O13</f>
        <v xml:space="preserve">If applicable: </v>
      </c>
      <c r="C272" s="17" t="str">
        <f>'Lang Pay'!P13</f>
        <v>Start date</v>
      </c>
      <c r="D272" s="435"/>
      <c r="E272" s="17" t="str">
        <f>'Lang Pay'!Q13</f>
        <v>Issue no.</v>
      </c>
      <c r="F272" s="435"/>
    </row>
    <row r="273" spans="1:10" ht="17.25" customHeight="1">
      <c r="A273" s="406"/>
      <c r="B273" s="663" t="str">
        <f>'Lang Pay'!R13</f>
        <v>Card holder name and address if different to owner details</v>
      </c>
      <c r="C273" s="652"/>
      <c r="D273" s="652"/>
      <c r="E273" s="652"/>
      <c r="F273" s="652"/>
      <c r="G273" s="652"/>
    </row>
    <row r="274" spans="1:10" ht="17.25" customHeight="1">
      <c r="A274" s="406"/>
      <c r="B274" s="663"/>
      <c r="C274" s="652"/>
      <c r="D274" s="652"/>
      <c r="E274" s="652"/>
      <c r="F274" s="652"/>
      <c r="G274" s="652"/>
      <c r="H274" s="124"/>
    </row>
    <row r="275" spans="1:10" ht="17.25" customHeight="1">
      <c r="A275" s="406"/>
      <c r="C275" s="652"/>
      <c r="D275" s="652"/>
      <c r="E275" s="652"/>
      <c r="F275" s="652"/>
      <c r="G275" s="652"/>
      <c r="H275" s="124"/>
    </row>
    <row r="276" spans="1:10" ht="19.5" customHeight="1">
      <c r="A276" s="406"/>
      <c r="C276" s="722" t="str">
        <f>C332</f>
        <v>JPN 円</v>
      </c>
      <c r="D276" s="722"/>
      <c r="E276" s="722"/>
      <c r="F276" s="436">
        <f>B329</f>
        <v>0</v>
      </c>
      <c r="G276" s="17" t="s">
        <v>4519</v>
      </c>
      <c r="H276" s="205"/>
    </row>
    <row r="277" spans="1:10" ht="19.5" customHeight="1">
      <c r="A277" s="406"/>
      <c r="D277" s="18"/>
      <c r="E277" s="18"/>
      <c r="F277" s="432">
        <f>IF(C383=2,F278-F276,0)</f>
        <v>0</v>
      </c>
      <c r="G277" s="17">
        <f>'Lang Pay'!E25</f>
        <v>0</v>
      </c>
      <c r="H277" s="438"/>
      <c r="J277" s="199"/>
    </row>
    <row r="278" spans="1:10" ht="19.5" customHeight="1">
      <c r="A278" s="406"/>
      <c r="D278" s="18"/>
      <c r="E278" s="18"/>
      <c r="F278" s="383">
        <f>IF(C383=2,F276*1.2,0)</f>
        <v>0</v>
      </c>
      <c r="G278" s="17">
        <f>'Lang Pay'!F25</f>
        <v>0</v>
      </c>
    </row>
    <row r="279" spans="1:10" ht="19.5" customHeight="1">
      <c r="A279" s="406"/>
      <c r="B279" s="685"/>
      <c r="C279" s="685"/>
      <c r="D279" s="685"/>
      <c r="E279" s="685"/>
      <c r="F279" s="685"/>
      <c r="G279" s="685"/>
    </row>
    <row r="280" spans="1:10" ht="19.5" customHeight="1">
      <c r="A280" s="406"/>
      <c r="B280" s="624" t="str">
        <f>'Lang Pay'!P25</f>
        <v>Make selection below to complete fee calculation</v>
      </c>
      <c r="C280" s="625"/>
      <c r="D280" s="625"/>
      <c r="E280" s="626"/>
      <c r="H280" s="439"/>
    </row>
    <row r="281" spans="1:10" ht="19.5" customHeight="1">
      <c r="A281" s="406"/>
      <c r="B281" s="705">
        <f>'Lang Pay'!I25</f>
        <v>0</v>
      </c>
      <c r="C281" s="705"/>
      <c r="D281" s="705"/>
      <c r="E281" s="705"/>
      <c r="F281" s="705"/>
      <c r="H281" s="377">
        <f>'Lang Pay'!J25</f>
        <v>0</v>
      </c>
    </row>
    <row r="282" spans="1:10" ht="19.5" customHeight="1">
      <c r="A282" s="406"/>
      <c r="B282" s="730"/>
      <c r="C282" s="730"/>
      <c r="D282" s="730"/>
      <c r="E282" s="730"/>
      <c r="F282" s="730"/>
      <c r="G282" s="431"/>
      <c r="H282" s="439"/>
    </row>
    <row r="283" spans="1:10" ht="19.5" customHeight="1">
      <c r="A283" s="406"/>
      <c r="B283" s="681" t="s">
        <v>4652</v>
      </c>
      <c r="C283" s="681"/>
      <c r="D283" s="681"/>
      <c r="E283" s="479"/>
      <c r="F283" s="479"/>
      <c r="G283" s="431"/>
      <c r="H283" s="439"/>
    </row>
    <row r="284" spans="1:10" ht="19.5" customHeight="1">
      <c r="A284" s="406"/>
      <c r="B284" s="729" t="str">
        <f>'Lang Pay'!Q25</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C284" s="729"/>
      <c r="D284" s="729"/>
      <c r="E284" s="729"/>
      <c r="F284" s="729"/>
      <c r="G284" s="729"/>
      <c r="H284" s="439"/>
    </row>
    <row r="285" spans="1:10" ht="19.5" customHeight="1">
      <c r="A285" s="406"/>
      <c r="B285" s="729"/>
      <c r="C285" s="729"/>
      <c r="D285" s="729"/>
      <c r="E285" s="729"/>
      <c r="F285" s="729"/>
      <c r="G285" s="729"/>
      <c r="H285" s="439"/>
    </row>
    <row r="286" spans="1:10" ht="19.5" customHeight="1">
      <c r="A286" s="406"/>
      <c r="B286" s="729"/>
      <c r="C286" s="729"/>
      <c r="D286" s="729"/>
      <c r="E286" s="729"/>
      <c r="F286" s="729"/>
      <c r="G286" s="729"/>
      <c r="H286" s="439"/>
    </row>
    <row r="287" spans="1:10" ht="19.5" customHeight="1">
      <c r="A287" s="406"/>
      <c r="B287" s="733" t="str">
        <f>'Lang Pay'!R25</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C287" s="733"/>
      <c r="D287" s="733"/>
      <c r="E287" s="733"/>
      <c r="F287" s="480"/>
      <c r="G287" s="431"/>
      <c r="H287" s="439"/>
    </row>
    <row r="288" spans="1:10" ht="19.5" customHeight="1">
      <c r="A288" s="406"/>
      <c r="B288" s="733"/>
      <c r="C288" s="733"/>
      <c r="D288" s="733"/>
      <c r="E288" s="733"/>
      <c r="F288" s="480"/>
      <c r="H288" s="439"/>
    </row>
    <row r="289" spans="1:9" ht="19.5" customHeight="1">
      <c r="A289" s="406"/>
      <c r="B289" s="733"/>
      <c r="C289" s="733"/>
      <c r="D289" s="733"/>
      <c r="E289" s="733"/>
      <c r="F289" s="480"/>
      <c r="G289" s="481" t="str">
        <f>'Lang Drops'!I112</f>
        <v>同意する</v>
      </c>
      <c r="H289" s="439"/>
    </row>
    <row r="290" spans="1:9" ht="19.5" customHeight="1">
      <c r="A290" s="406"/>
      <c r="B290" s="703" t="str">
        <f>'Lang Pay'!S25</f>
        <v xml:space="preserve"> *Seahorse Rating Ltd trades as the RORC Rating Office. IRC Member Offer Partners are:  </v>
      </c>
      <c r="C290" s="703"/>
      <c r="D290" s="703"/>
      <c r="E290" s="703"/>
      <c r="F290" s="623"/>
      <c r="G290" s="431"/>
      <c r="H290" s="439"/>
    </row>
    <row r="291" spans="1:9" ht="19.5" customHeight="1">
      <c r="A291" s="406"/>
      <c r="B291" s="623" t="str">
        <f>'Lang Pay'!T25</f>
        <v>Seahorse Magazine and SeaSure.</v>
      </c>
      <c r="C291" s="623"/>
      <c r="D291" s="623"/>
      <c r="E291" s="623"/>
      <c r="F291" s="623"/>
      <c r="G291" s="431"/>
      <c r="H291" s="439"/>
    </row>
    <row r="292" spans="1:9" ht="19.5" customHeight="1">
      <c r="B292" s="734">
        <f>'Lang Other'!D31</f>
        <v>0</v>
      </c>
      <c r="C292" s="734"/>
      <c r="D292" s="734"/>
      <c r="E292" s="734"/>
      <c r="F292" s="734"/>
      <c r="G292" s="734"/>
      <c r="H292" s="124"/>
    </row>
    <row r="293" spans="1:9" ht="19.5" customHeight="1">
      <c r="B293" s="716" t="str">
        <f>IF(C393&lt;5,B526&amp;" 31/12/2026",B526&amp;" 31/5/2027")</f>
        <v>IRC証書の失効日は 31/12/2026</v>
      </c>
      <c r="C293" s="716"/>
      <c r="D293" s="716"/>
      <c r="E293" s="716"/>
      <c r="F293" s="716"/>
      <c r="G293" s="716"/>
      <c r="H293" s="124"/>
    </row>
    <row r="294" spans="1:9" ht="19.5" customHeight="1">
      <c r="B294" s="723" t="str">
        <f>'Lang Header'!M1</f>
        <v>VALIDATIONシートを見て、データのチェックを行なって下さい。</v>
      </c>
      <c r="C294" s="724"/>
      <c r="D294" s="724"/>
      <c r="E294" s="724"/>
      <c r="F294" s="724"/>
      <c r="G294" s="725"/>
      <c r="H294" s="124"/>
    </row>
    <row r="295" spans="1:9" ht="19.5" customHeight="1">
      <c r="B295" s="726"/>
      <c r="C295" s="727"/>
      <c r="D295" s="727"/>
      <c r="E295" s="727"/>
      <c r="F295" s="727"/>
      <c r="G295" s="728"/>
      <c r="H295" s="124"/>
    </row>
    <row r="296" spans="1:9" ht="19.5" customHeight="1">
      <c r="B296" s="437"/>
      <c r="C296" s="437"/>
      <c r="D296" s="437"/>
      <c r="E296" s="437"/>
      <c r="F296" s="437"/>
      <c r="G296" s="437"/>
      <c r="H296" s="124"/>
    </row>
    <row r="297" spans="1:9" ht="19.5" customHeight="1">
      <c r="B297" s="687" t="str">
        <f>'Lang Pay'!M25</f>
        <v>追加コメント／補足：必要なら別紙を添付する</v>
      </c>
      <c r="C297" s="688"/>
      <c r="D297" s="688"/>
      <c r="E297" s="688"/>
      <c r="F297" s="688"/>
      <c r="G297" s="689"/>
      <c r="I297" s="188"/>
    </row>
    <row r="298" spans="1:9" ht="12.45">
      <c r="B298" s="719"/>
      <c r="C298" s="720"/>
      <c r="D298" s="720"/>
      <c r="E298" s="720"/>
      <c r="F298" s="720"/>
      <c r="G298" s="721"/>
    </row>
    <row r="299" spans="1:9" ht="12.45">
      <c r="B299" s="682"/>
      <c r="C299" s="683"/>
      <c r="D299" s="683"/>
      <c r="E299" s="683"/>
      <c r="F299" s="683"/>
      <c r="G299" s="684"/>
    </row>
    <row r="300" spans="1:9" ht="12.45">
      <c r="B300" s="682"/>
      <c r="C300" s="683"/>
      <c r="D300" s="683"/>
      <c r="E300" s="683"/>
      <c r="F300" s="683"/>
      <c r="G300" s="684"/>
      <c r="H300" s="745"/>
    </row>
    <row r="301" spans="1:9" ht="12.45">
      <c r="B301" s="682"/>
      <c r="C301" s="683"/>
      <c r="D301" s="683"/>
      <c r="E301" s="683"/>
      <c r="F301" s="683"/>
      <c r="G301" s="684"/>
      <c r="H301" s="745"/>
    </row>
    <row r="302" spans="1:9" ht="12.45">
      <c r="B302" s="682"/>
      <c r="C302" s="683"/>
      <c r="D302" s="683"/>
      <c r="E302" s="683"/>
      <c r="F302" s="683"/>
      <c r="G302" s="684"/>
      <c r="H302" s="745"/>
    </row>
    <row r="303" spans="1:9" ht="12.45">
      <c r="B303" s="682"/>
      <c r="C303" s="683"/>
      <c r="D303" s="683"/>
      <c r="E303" s="683"/>
      <c r="F303" s="683"/>
      <c r="G303" s="684"/>
      <c r="H303" s="745"/>
    </row>
    <row r="304" spans="1:9" ht="15.45">
      <c r="B304" s="682"/>
      <c r="C304" s="683"/>
      <c r="D304" s="683"/>
      <c r="E304" s="683"/>
      <c r="F304" s="683"/>
      <c r="G304" s="684"/>
      <c r="H304" s="124"/>
    </row>
    <row r="305" spans="2:8" ht="12.45">
      <c r="B305" s="682"/>
      <c r="C305" s="683"/>
      <c r="D305" s="683"/>
      <c r="E305" s="683"/>
      <c r="F305" s="683"/>
      <c r="G305" s="684"/>
    </row>
    <row r="306" spans="2:8" ht="12.45">
      <c r="B306" s="682"/>
      <c r="C306" s="683"/>
      <c r="D306" s="683"/>
      <c r="E306" s="683"/>
      <c r="F306" s="683"/>
      <c r="G306" s="684"/>
    </row>
    <row r="307" spans="2:8" ht="12.45">
      <c r="B307" s="682"/>
      <c r="C307" s="683"/>
      <c r="D307" s="683"/>
      <c r="E307" s="683"/>
      <c r="F307" s="683"/>
      <c r="G307" s="684"/>
    </row>
    <row r="308" spans="2:8" ht="12.45">
      <c r="B308" s="682"/>
      <c r="C308" s="683"/>
      <c r="D308" s="683"/>
      <c r="E308" s="683"/>
      <c r="F308" s="683"/>
      <c r="G308" s="684"/>
    </row>
    <row r="309" spans="2:8" ht="12.45">
      <c r="B309" s="682"/>
      <c r="C309" s="683"/>
      <c r="D309" s="683"/>
      <c r="E309" s="683"/>
      <c r="F309" s="683"/>
      <c r="G309" s="684"/>
    </row>
    <row r="310" spans="2:8" ht="12.45">
      <c r="B310" s="682"/>
      <c r="C310" s="683"/>
      <c r="D310" s="683"/>
      <c r="E310" s="683"/>
      <c r="F310" s="683"/>
      <c r="G310" s="684"/>
    </row>
    <row r="311" spans="2:8" ht="12.45">
      <c r="B311" s="682"/>
      <c r="C311" s="683"/>
      <c r="D311" s="683"/>
      <c r="E311" s="683"/>
      <c r="F311" s="683"/>
      <c r="G311" s="684"/>
    </row>
    <row r="312" spans="2:8" ht="12.45">
      <c r="B312" s="682"/>
      <c r="C312" s="683"/>
      <c r="D312" s="683"/>
      <c r="E312" s="683"/>
      <c r="F312" s="683"/>
      <c r="G312" s="684"/>
    </row>
    <row r="313" spans="2:8" ht="12.45">
      <c r="B313" s="682"/>
      <c r="C313" s="683"/>
      <c r="D313" s="683"/>
      <c r="E313" s="683"/>
      <c r="F313" s="683"/>
      <c r="G313" s="684"/>
    </row>
    <row r="314" spans="2:8" ht="12.45">
      <c r="B314" s="682"/>
      <c r="C314" s="683"/>
      <c r="D314" s="683"/>
      <c r="E314" s="683"/>
      <c r="F314" s="683"/>
      <c r="G314" s="684"/>
    </row>
    <row r="315" spans="2:8" ht="12.45">
      <c r="B315" s="682"/>
      <c r="C315" s="683"/>
      <c r="D315" s="683"/>
      <c r="E315" s="683"/>
      <c r="F315" s="683"/>
      <c r="G315" s="684"/>
    </row>
    <row r="316" spans="2:8" ht="12.45">
      <c r="B316" s="682"/>
      <c r="C316" s="683"/>
      <c r="D316" s="683"/>
      <c r="E316" s="683"/>
      <c r="F316" s="683"/>
      <c r="G316" s="684"/>
    </row>
    <row r="317" spans="2:8" ht="12.45">
      <c r="B317" s="682"/>
      <c r="C317" s="683"/>
      <c r="D317" s="683"/>
      <c r="E317" s="683"/>
      <c r="F317" s="683"/>
      <c r="G317" s="684"/>
      <c r="H317" s="117"/>
    </row>
    <row r="318" spans="2:8" ht="12.45">
      <c r="B318" s="682"/>
      <c r="C318" s="683"/>
      <c r="D318" s="683"/>
      <c r="E318" s="683"/>
      <c r="F318" s="683"/>
      <c r="G318" s="684"/>
    </row>
    <row r="319" spans="2:8" ht="12.45">
      <c r="B319" s="682"/>
      <c r="C319" s="683"/>
      <c r="D319" s="683"/>
      <c r="E319" s="683"/>
      <c r="F319" s="683"/>
      <c r="G319" s="684"/>
    </row>
    <row r="320" spans="2:8" ht="12" customHeight="1">
      <c r="B320" s="732"/>
      <c r="C320" s="732"/>
      <c r="D320" s="732"/>
      <c r="E320" s="732"/>
      <c r="F320" s="732"/>
      <c r="G320" s="732"/>
    </row>
    <row r="321" spans="2:15" ht="12" customHeight="1">
      <c r="C321" s="140"/>
      <c r="D321" s="567">
        <v>2026</v>
      </c>
      <c r="G321" s="103"/>
      <c r="J321" s="440"/>
      <c r="K321" s="441"/>
      <c r="L321" s="440"/>
      <c r="M321" s="440"/>
      <c r="N321" s="442"/>
      <c r="O321" s="103"/>
    </row>
    <row r="322" spans="2:15" ht="12" customHeight="1">
      <c r="B322" s="18" t="s">
        <v>4517</v>
      </c>
      <c r="C322" s="99"/>
      <c r="D322" s="649">
        <v>3500</v>
      </c>
      <c r="E322" s="121" t="s">
        <v>3156</v>
      </c>
      <c r="F322" s="731"/>
      <c r="G322" s="731"/>
      <c r="J322" s="443"/>
      <c r="K322" s="295"/>
      <c r="L322" s="444"/>
      <c r="M322" s="295"/>
      <c r="N322" s="442"/>
      <c r="O322" s="103"/>
    </row>
    <row r="323" spans="2:15" ht="12" customHeight="1">
      <c r="B323" s="18" t="s">
        <v>4518</v>
      </c>
      <c r="C323" s="99"/>
      <c r="D323" s="649">
        <v>3700</v>
      </c>
      <c r="E323" s="121" t="s">
        <v>3156</v>
      </c>
      <c r="F323" s="731"/>
      <c r="G323" s="731"/>
      <c r="H323" s="343"/>
      <c r="J323" s="443"/>
      <c r="K323" s="295"/>
      <c r="L323" s="444"/>
      <c r="M323" s="295"/>
      <c r="N323" s="442"/>
      <c r="O323" s="103"/>
    </row>
    <row r="324" spans="2:15" ht="12" customHeight="1">
      <c r="B324" s="18" t="s">
        <v>3157</v>
      </c>
      <c r="C324" s="99"/>
      <c r="D324" s="649">
        <v>4220</v>
      </c>
      <c r="E324" s="121" t="s">
        <v>3156</v>
      </c>
      <c r="F324" s="731"/>
      <c r="G324" s="731"/>
      <c r="J324" s="443"/>
      <c r="K324" s="295"/>
      <c r="L324" s="444"/>
      <c r="M324" s="295"/>
      <c r="N324" s="442"/>
      <c r="O324" s="103"/>
    </row>
    <row r="325" spans="2:15" ht="12" customHeight="1">
      <c r="J325" s="440"/>
      <c r="K325" s="440"/>
      <c r="L325" s="440"/>
      <c r="M325" s="440"/>
      <c r="N325" s="440"/>
    </row>
    <row r="326" spans="2:15" ht="12" customHeight="1">
      <c r="B326" s="128" t="s">
        <v>1009</v>
      </c>
      <c r="C326" s="712"/>
      <c r="D326" s="712"/>
      <c r="E326" s="712"/>
      <c r="F326" s="713"/>
      <c r="J326" s="441"/>
      <c r="K326" s="440"/>
      <c r="L326" s="440"/>
      <c r="M326" s="440"/>
      <c r="N326" s="440"/>
    </row>
    <row r="327" spans="2:15" ht="12" customHeight="1">
      <c r="B327" s="129">
        <f>D47</f>
        <v>0</v>
      </c>
      <c r="C327" s="714" t="s">
        <v>145</v>
      </c>
      <c r="D327" s="714"/>
      <c r="E327" s="714"/>
      <c r="F327" s="715"/>
      <c r="G327" s="130"/>
      <c r="J327" s="445"/>
      <c r="K327" s="440"/>
      <c r="L327" s="440"/>
      <c r="M327" s="440"/>
      <c r="N327" s="440"/>
      <c r="O327" s="130"/>
    </row>
    <row r="328" spans="2:15" ht="12" customHeight="1">
      <c r="B328" s="131">
        <f>IF(B327&gt;11.99,IF(B327&gt;17.99,B327*D324,B327*D323),B327*D322)</f>
        <v>0</v>
      </c>
      <c r="C328" s="714" t="s">
        <v>3750</v>
      </c>
      <c r="D328" s="714"/>
      <c r="E328" s="714"/>
      <c r="F328" s="715"/>
      <c r="J328" s="445"/>
      <c r="K328" s="440"/>
      <c r="L328" s="440"/>
      <c r="M328" s="440"/>
      <c r="N328" s="440"/>
    </row>
    <row r="329" spans="2:15" ht="12" customHeight="1">
      <c r="B329" s="129">
        <f>IF(C387=2,B328*2,B328)</f>
        <v>0</v>
      </c>
      <c r="C329" s="714" t="s">
        <v>1008</v>
      </c>
      <c r="D329" s="714"/>
      <c r="E329" s="714"/>
      <c r="F329" s="715"/>
      <c r="J329" s="445"/>
      <c r="K329" s="440"/>
      <c r="L329" s="440"/>
      <c r="M329" s="440"/>
      <c r="N329" s="440"/>
    </row>
    <row r="330" spans="2:15" ht="12" customHeight="1">
      <c r="B330" s="132"/>
      <c r="C330" s="717" t="s">
        <v>3933</v>
      </c>
      <c r="D330" s="717"/>
      <c r="E330" s="717"/>
      <c r="F330" s="718"/>
      <c r="J330" s="440"/>
      <c r="K330" s="446"/>
      <c r="L330" s="446"/>
      <c r="M330" s="446"/>
      <c r="N330" s="446"/>
    </row>
    <row r="331" spans="2:15" ht="12" customHeight="1"/>
    <row r="332" spans="2:15" ht="12" customHeight="1">
      <c r="B332" s="133" t="s">
        <v>180</v>
      </c>
      <c r="C332" s="709" t="s">
        <v>5717</v>
      </c>
      <c r="D332" s="710"/>
      <c r="E332" s="711"/>
      <c r="F332" s="134"/>
    </row>
    <row r="333" spans="2:15" ht="12" customHeight="1"/>
    <row r="334" spans="2:15" ht="12" customHeight="1"/>
    <row r="335" spans="2:15" ht="12" customHeight="1">
      <c r="B335" s="706" t="s">
        <v>3813</v>
      </c>
      <c r="C335" s="707"/>
      <c r="D335" s="707"/>
      <c r="E335" s="707"/>
      <c r="F335" s="707"/>
      <c r="G335" s="708"/>
    </row>
    <row r="336" spans="2:15" ht="12" customHeight="1"/>
    <row r="337" spans="1:8" ht="12" customHeight="1"/>
    <row r="338" spans="1:8" ht="12" customHeight="1"/>
    <row r="339" spans="1:8" ht="12" customHeight="1"/>
    <row r="340" spans="1:8" ht="12" hidden="1" customHeight="1"/>
    <row r="341" spans="1:8" ht="12" hidden="1" customHeight="1">
      <c r="B341" s="457" t="s">
        <v>3196</v>
      </c>
      <c r="C341" s="650" t="s">
        <v>3197</v>
      </c>
      <c r="D341" s="650"/>
      <c r="E341" s="458"/>
      <c r="F341" s="458"/>
      <c r="G341" s="135"/>
    </row>
    <row r="342" spans="1:8" ht="12" hidden="1" customHeight="1">
      <c r="B342" s="135" t="str">
        <f>'Lang Drops'!E1</f>
        <v>ULDB</v>
      </c>
      <c r="C342" s="459">
        <v>1</v>
      </c>
      <c r="D342" s="135" t="s">
        <v>3199</v>
      </c>
      <c r="E342" s="460">
        <v>1</v>
      </c>
      <c r="F342" s="458" t="s">
        <v>3189</v>
      </c>
      <c r="G342" s="135" t="s">
        <v>906</v>
      </c>
    </row>
    <row r="343" spans="1:8" ht="12" hidden="1" customHeight="1">
      <c r="B343" s="135" t="str">
        <f>'Lang Drops'!F1</f>
        <v>LDB</v>
      </c>
      <c r="C343" s="459">
        <v>1</v>
      </c>
      <c r="D343" s="135" t="s">
        <v>3201</v>
      </c>
      <c r="E343" s="458"/>
      <c r="F343" s="458"/>
      <c r="G343" s="135" t="s">
        <v>2253</v>
      </c>
    </row>
    <row r="344" spans="1:8" ht="12" hidden="1" customHeight="1">
      <c r="B344" s="135" t="str">
        <f>'Lang Drops'!G1</f>
        <v>racer/cruiser</v>
      </c>
      <c r="C344" s="459">
        <v>1</v>
      </c>
      <c r="D344" s="135" t="s">
        <v>3146</v>
      </c>
      <c r="E344" s="458"/>
      <c r="F344" s="458"/>
      <c r="G344" s="135" t="s">
        <v>2254</v>
      </c>
      <c r="H344" s="3"/>
    </row>
    <row r="345" spans="1:8" ht="12" hidden="1" customHeight="1">
      <c r="B345" s="135" t="str">
        <f>'Lang Drops'!H1</f>
        <v>cruiser/racer</v>
      </c>
      <c r="C345" s="459">
        <v>1</v>
      </c>
      <c r="D345" s="135" t="s">
        <v>3148</v>
      </c>
      <c r="E345" s="458"/>
      <c r="F345" s="458"/>
      <c r="G345" s="135" t="s">
        <v>904</v>
      </c>
      <c r="H345" s="3"/>
    </row>
    <row r="346" spans="1:8" ht="12" hidden="1" customHeight="1">
      <c r="B346" s="135" t="str">
        <f>'Lang Drops'!I1</f>
        <v>modern cruiser</v>
      </c>
      <c r="C346" s="459">
        <v>1</v>
      </c>
      <c r="D346" s="135" t="s">
        <v>3150</v>
      </c>
      <c r="E346" s="458"/>
      <c r="F346" s="458"/>
      <c r="G346" s="135" t="s">
        <v>905</v>
      </c>
      <c r="H346" s="3"/>
    </row>
    <row r="347" spans="1:8" ht="12" hidden="1" customHeight="1">
      <c r="B347" s="135" t="str">
        <f>'Lang Drops'!J1</f>
        <v>traditional cruiser</v>
      </c>
      <c r="C347" s="459">
        <v>1</v>
      </c>
      <c r="D347" s="135" t="s">
        <v>3152</v>
      </c>
      <c r="E347" s="458"/>
      <c r="F347" s="458"/>
      <c r="G347" s="135" t="s">
        <v>3501</v>
      </c>
      <c r="H347" s="3"/>
    </row>
    <row r="348" spans="1:8" ht="12" hidden="1" customHeight="1">
      <c r="B348" s="135" t="str">
        <f>'Lang Drops'!K1</f>
        <v>workboat</v>
      </c>
      <c r="C348" s="459">
        <v>1</v>
      </c>
      <c r="D348" s="135" t="s">
        <v>3154</v>
      </c>
      <c r="E348" s="458"/>
      <c r="F348" s="458"/>
      <c r="G348" s="135" t="s">
        <v>4776</v>
      </c>
      <c r="H348" s="3"/>
    </row>
    <row r="349" spans="1:8" ht="12" hidden="1" customHeight="1">
      <c r="B349" s="135" t="str">
        <f>'Lang Drops'!L1</f>
        <v>その他もしくは複数回答</v>
      </c>
      <c r="C349" s="459">
        <v>1</v>
      </c>
      <c r="D349" s="135" t="s">
        <v>3160</v>
      </c>
      <c r="E349" s="458"/>
      <c r="F349" s="458"/>
      <c r="G349" s="135"/>
      <c r="H349" s="3"/>
    </row>
    <row r="350" spans="1:8" ht="12" hidden="1" customHeight="1">
      <c r="B350" s="135"/>
      <c r="C350" s="459">
        <v>1</v>
      </c>
      <c r="D350" s="135" t="s">
        <v>3162</v>
      </c>
      <c r="E350" s="458"/>
      <c r="F350" s="458"/>
      <c r="G350" s="135"/>
      <c r="H350" s="3"/>
    </row>
    <row r="351" spans="1:8" ht="12" hidden="1" customHeight="1">
      <c r="A351" s="125">
        <v>1</v>
      </c>
      <c r="B351" s="135" t="str">
        <f>'Lang Drops'!D1</f>
        <v>&lt;select from list&gt;</v>
      </c>
      <c r="C351" s="591">
        <v>1</v>
      </c>
      <c r="D351" s="463" t="s">
        <v>1517</v>
      </c>
      <c r="E351" s="458"/>
      <c r="F351" s="458"/>
      <c r="G351" s="135"/>
    </row>
    <row r="352" spans="1:8" ht="12" hidden="1" customHeight="1">
      <c r="A352" s="125">
        <v>2</v>
      </c>
      <c r="B352" s="135" t="str">
        <f>'Lang Drops'!M1</f>
        <v>fair form</v>
      </c>
      <c r="C352" s="459">
        <v>1</v>
      </c>
      <c r="D352" s="135" t="s">
        <v>1520</v>
      </c>
      <c r="E352" s="458"/>
      <c r="F352" s="458"/>
      <c r="G352" s="135"/>
    </row>
    <row r="353" spans="1:7" ht="12" hidden="1" customHeight="1">
      <c r="A353" s="125">
        <v>3</v>
      </c>
      <c r="B353" s="135" t="str">
        <f>'Lang Drops'!N1</f>
        <v>IOR (creased,bumps)</v>
      </c>
      <c r="C353" s="459">
        <v>1</v>
      </c>
      <c r="D353" s="135" t="s">
        <v>399</v>
      </c>
      <c r="E353" s="458"/>
      <c r="F353" s="458"/>
      <c r="G353" s="135"/>
    </row>
    <row r="354" spans="1:7" ht="19.5" hidden="1" customHeight="1">
      <c r="A354" s="125">
        <v>4</v>
      </c>
      <c r="B354" s="135" t="str">
        <f>'Lang Drops'!O1</f>
        <v>single full length hard chine</v>
      </c>
      <c r="C354" s="459">
        <v>1</v>
      </c>
      <c r="D354" s="135" t="s">
        <v>860</v>
      </c>
      <c r="E354" s="458" t="b">
        <f>IF(C354=2,1,IF(C354=3,1,IF(C354=4,2,IF(C354=5,3,IF(C354=6,4,IF(C354=7,5))))))</f>
        <v>0</v>
      </c>
      <c r="F354" s="458"/>
      <c r="G354" s="135"/>
    </row>
    <row r="355" spans="1:7" ht="12" hidden="1" customHeight="1">
      <c r="A355" s="125">
        <v>5</v>
      </c>
      <c r="B355" s="135" t="str">
        <f>'Lang Drops'!P1</f>
        <v>multichined</v>
      </c>
      <c r="C355" s="459">
        <v>1</v>
      </c>
      <c r="D355" s="135" t="s">
        <v>870</v>
      </c>
      <c r="E355" s="458"/>
      <c r="F355" s="458"/>
      <c r="G355" s="135"/>
    </row>
    <row r="356" spans="1:7" ht="12" hidden="1" customHeight="1">
      <c r="A356" s="125">
        <v>6</v>
      </c>
      <c r="B356" s="135" t="str">
        <f>'Lang Drops'!Q1</f>
        <v>clinker</v>
      </c>
      <c r="C356" s="591">
        <v>1</v>
      </c>
      <c r="D356" s="463" t="s">
        <v>872</v>
      </c>
      <c r="E356" s="458"/>
      <c r="F356" s="458"/>
      <c r="G356" s="135"/>
    </row>
    <row r="357" spans="1:7" ht="12" hidden="1" customHeight="1">
      <c r="A357" s="125">
        <v>7</v>
      </c>
      <c r="B357" s="135" t="str">
        <f>'Lang Drops'!R1</f>
        <v>other (please specify)</v>
      </c>
      <c r="C357" s="459">
        <v>1</v>
      </c>
      <c r="D357" s="135" t="s">
        <v>873</v>
      </c>
      <c r="E357" s="458"/>
      <c r="F357" s="458"/>
      <c r="G357" s="135"/>
    </row>
    <row r="358" spans="1:7" ht="12" hidden="1" customHeight="1">
      <c r="B358" s="135" t="str">
        <f>'Lang Drops'!D1</f>
        <v>&lt;select from list&gt;</v>
      </c>
      <c r="C358" s="459">
        <v>1</v>
      </c>
      <c r="D358" s="135" t="s">
        <v>875</v>
      </c>
      <c r="E358" s="458"/>
      <c r="F358" s="458"/>
      <c r="G358" s="135"/>
    </row>
    <row r="359" spans="1:7" ht="12" hidden="1" customHeight="1">
      <c r="B359" s="135" t="str">
        <f>'Lang Drops'!D11</f>
        <v>fixed single fin</v>
      </c>
      <c r="C359" s="459">
        <v>1</v>
      </c>
      <c r="D359" s="461" t="s">
        <v>1525</v>
      </c>
      <c r="E359" s="458" t="s">
        <v>696</v>
      </c>
      <c r="F359" s="458" t="s">
        <v>696</v>
      </c>
      <c r="G359" s="135"/>
    </row>
    <row r="360" spans="1:7" ht="12" hidden="1" customHeight="1">
      <c r="B360" s="135" t="str">
        <f>'Lang Drops'!E11</f>
        <v>traditonal long keel</v>
      </c>
      <c r="C360" s="462" t="b">
        <v>1</v>
      </c>
      <c r="D360" s="463" t="s">
        <v>3449</v>
      </c>
      <c r="E360" s="458" t="s">
        <v>696</v>
      </c>
      <c r="F360" s="458" t="s">
        <v>696</v>
      </c>
      <c r="G360" s="135"/>
    </row>
    <row r="361" spans="1:7" ht="12" hidden="1" customHeight="1">
      <c r="B361" s="135" t="str">
        <f>'Lang Drops'!H11</f>
        <v>drop keel fixed down</v>
      </c>
      <c r="C361" s="464" t="b">
        <v>0</v>
      </c>
      <c r="D361" s="135" t="s">
        <v>3451</v>
      </c>
      <c r="E361" s="458" t="s">
        <v>1307</v>
      </c>
      <c r="F361" s="458"/>
      <c r="G361" s="135"/>
    </row>
    <row r="362" spans="1:7" ht="12" hidden="1" customHeight="1">
      <c r="B362" s="135" t="str">
        <f>'Lang Drops'!F11</f>
        <v>centreboard</v>
      </c>
      <c r="C362" s="464">
        <v>1</v>
      </c>
      <c r="D362" s="135" t="s">
        <v>2851</v>
      </c>
      <c r="E362" s="458"/>
      <c r="F362" s="458"/>
      <c r="G362" s="135"/>
    </row>
    <row r="363" spans="1:7" ht="12" hidden="1" customHeight="1">
      <c r="B363" s="135" t="str">
        <f>'Lang Drops'!G11</f>
        <v>drop keel</v>
      </c>
      <c r="C363" s="464">
        <v>1</v>
      </c>
      <c r="D363" s="135" t="s">
        <v>3624</v>
      </c>
      <c r="E363" s="458"/>
      <c r="F363" s="458"/>
      <c r="G363" s="135"/>
    </row>
    <row r="364" spans="1:7" ht="12" hidden="1" customHeight="1">
      <c r="B364" s="135" t="str">
        <f>'Lang Drops'!I11</f>
        <v>stub keel + c/board</v>
      </c>
      <c r="C364" s="464">
        <v>1</v>
      </c>
      <c r="D364" s="135" t="s">
        <v>3626</v>
      </c>
      <c r="E364" s="458"/>
      <c r="F364" s="458"/>
      <c r="G364" s="135"/>
    </row>
    <row r="365" spans="1:7" ht="12" hidden="1" customHeight="1">
      <c r="B365" s="135" t="str">
        <f>'Lang Drops'!J11</f>
        <v>twin bilge keels</v>
      </c>
      <c r="C365" s="464">
        <v>1</v>
      </c>
      <c r="D365" s="135" t="s">
        <v>3617</v>
      </c>
      <c r="E365" s="458"/>
      <c r="F365" s="458"/>
      <c r="G365" s="135"/>
    </row>
    <row r="366" spans="1:7" ht="12" hidden="1" customHeight="1">
      <c r="B366" s="135" t="str">
        <f>'Lang Drops'!K11</f>
        <v>triple keels</v>
      </c>
      <c r="C366" s="464">
        <v>1</v>
      </c>
      <c r="D366" s="135" t="s">
        <v>3629</v>
      </c>
      <c r="E366" s="458"/>
      <c r="F366" s="458" t="str">
        <f>'Lang Drops'!M101</f>
        <v>Select ONLY if 1 headsail</v>
      </c>
      <c r="G366" s="135"/>
    </row>
    <row r="367" spans="1:7" ht="19.5" hidden="1" customHeight="1">
      <c r="B367" s="135" t="str">
        <f>'Lang Drops'!L11</f>
        <v>canting keel</v>
      </c>
      <c r="C367" s="464">
        <v>1</v>
      </c>
      <c r="D367" s="135" t="s">
        <v>3631</v>
      </c>
      <c r="E367" s="458"/>
      <c r="F367" s="458" t="str">
        <f>'Lang Drops'!J101</f>
        <v>No</v>
      </c>
      <c r="G367" s="135"/>
    </row>
    <row r="368" spans="1:7" ht="19.5" hidden="1" customHeight="1">
      <c r="B368" s="135" t="str">
        <f>'Lang Drops'!M11</f>
        <v>other (please specify)</v>
      </c>
      <c r="C368" s="464">
        <v>1</v>
      </c>
      <c r="D368" s="135" t="s">
        <v>3633</v>
      </c>
      <c r="E368" s="458"/>
      <c r="F368" s="458" t="str">
        <f>'Lang Drops'!I101</f>
        <v>Yes</v>
      </c>
      <c r="G368" s="135"/>
    </row>
    <row r="369" spans="2:7" ht="19.5" hidden="1" customHeight="1">
      <c r="B369" s="135" t="s">
        <v>3929</v>
      </c>
      <c r="C369" s="464">
        <v>1</v>
      </c>
      <c r="D369" s="135" t="s">
        <v>3618</v>
      </c>
      <c r="E369" s="458"/>
      <c r="F369" s="458"/>
      <c r="G369" s="135"/>
    </row>
    <row r="370" spans="2:7" ht="19.5" hidden="1" customHeight="1">
      <c r="B370" s="463" t="s">
        <v>3320</v>
      </c>
      <c r="C370" s="464" t="b">
        <v>0</v>
      </c>
      <c r="D370" s="135" t="s">
        <v>3639</v>
      </c>
      <c r="E370" s="458" t="s">
        <v>1307</v>
      </c>
      <c r="F370" s="458"/>
      <c r="G370" s="135"/>
    </row>
    <row r="371" spans="2:7" ht="19.5" hidden="1" customHeight="1">
      <c r="B371" s="463" t="s">
        <v>3319</v>
      </c>
      <c r="C371" s="464">
        <v>1</v>
      </c>
      <c r="D371" s="135" t="s">
        <v>3640</v>
      </c>
      <c r="E371" s="458"/>
      <c r="F371" s="458"/>
      <c r="G371" s="135"/>
    </row>
    <row r="372" spans="2:7" ht="19.5" hidden="1" customHeight="1">
      <c r="B372" s="463" t="s">
        <v>3628</v>
      </c>
      <c r="C372" s="464">
        <v>1</v>
      </c>
      <c r="D372" s="135" t="s">
        <v>3773</v>
      </c>
      <c r="E372" s="458"/>
      <c r="F372" s="458"/>
      <c r="G372" s="135"/>
    </row>
    <row r="373" spans="2:7" ht="19.5" hidden="1" customHeight="1">
      <c r="B373" s="463" t="s">
        <v>3630</v>
      </c>
      <c r="C373" s="464">
        <v>1</v>
      </c>
      <c r="D373" s="135" t="s">
        <v>3775</v>
      </c>
      <c r="E373" s="458"/>
      <c r="F373" s="458"/>
      <c r="G373" s="135"/>
    </row>
    <row r="374" spans="2:7" ht="19.5" hidden="1" customHeight="1">
      <c r="B374" s="463" t="s">
        <v>3632</v>
      </c>
      <c r="C374" s="464">
        <v>1</v>
      </c>
      <c r="D374" s="135" t="s">
        <v>3941</v>
      </c>
      <c r="E374" s="458"/>
      <c r="F374" s="458"/>
      <c r="G374" s="135"/>
    </row>
    <row r="375" spans="2:7" ht="19.5" hidden="1" customHeight="1">
      <c r="B375" s="135" t="str">
        <f>'Lang Drops'!D1</f>
        <v>&lt;select from list&gt;</v>
      </c>
      <c r="C375" s="464">
        <v>1</v>
      </c>
      <c r="D375" s="135" t="s">
        <v>3777</v>
      </c>
      <c r="E375" s="458"/>
      <c r="F375" s="458"/>
      <c r="G375" s="135"/>
    </row>
    <row r="376" spans="2:7" ht="19.5" hidden="1" customHeight="1">
      <c r="B376" s="135" t="str">
        <f>'Lang Drops'!N11</f>
        <v>spade</v>
      </c>
      <c r="C376" s="464">
        <v>1</v>
      </c>
      <c r="D376" s="135" t="s">
        <v>3945</v>
      </c>
      <c r="E376" s="458"/>
      <c r="F376" s="458"/>
      <c r="G376" s="135"/>
    </row>
    <row r="377" spans="2:7" ht="19.5" hidden="1" customHeight="1">
      <c r="B377" s="135" t="str">
        <f>'Lang Drops'!O11</f>
        <v>small IOR skeg</v>
      </c>
      <c r="C377" s="462" t="b">
        <v>1</v>
      </c>
      <c r="D377" s="463" t="s">
        <v>3776</v>
      </c>
      <c r="E377" s="458"/>
      <c r="F377" s="458"/>
      <c r="G377" s="135"/>
    </row>
    <row r="378" spans="2:7" ht="19.5" hidden="1" customHeight="1">
      <c r="B378" s="135" t="str">
        <f>'Lang Drops'!P11</f>
        <v>modern transom hung</v>
      </c>
      <c r="C378" s="464">
        <v>1</v>
      </c>
      <c r="D378" s="135" t="s">
        <v>167</v>
      </c>
      <c r="E378" s="458"/>
      <c r="F378" s="458"/>
      <c r="G378" s="135"/>
    </row>
    <row r="379" spans="2:7" ht="19.5" hidden="1" customHeight="1">
      <c r="B379" s="135" t="str">
        <f>'Lang Drops'!Q11</f>
        <v>half depth skeg</v>
      </c>
      <c r="C379" s="464">
        <v>2</v>
      </c>
      <c r="D379" s="135" t="s">
        <v>2777</v>
      </c>
      <c r="E379" s="458"/>
      <c r="F379" s="458"/>
      <c r="G379" s="135"/>
    </row>
    <row r="380" spans="2:7" ht="19.5" hidden="1" customHeight="1">
      <c r="B380" s="135" t="str">
        <f>'Lang Drops'!R11</f>
        <v>twin spade</v>
      </c>
      <c r="C380" s="464"/>
      <c r="D380" s="135"/>
      <c r="E380" s="465"/>
      <c r="F380" s="458"/>
      <c r="G380" s="135"/>
    </row>
    <row r="381" spans="2:7" ht="19.5" hidden="1" customHeight="1">
      <c r="B381" s="135" t="str">
        <f>'Lang Drops'!S11</f>
        <v>twin transom hung</v>
      </c>
      <c r="C381" s="464" t="b">
        <v>1</v>
      </c>
      <c r="D381" s="135" t="s">
        <v>3781</v>
      </c>
      <c r="E381" s="458" t="s">
        <v>1307</v>
      </c>
      <c r="F381" s="458"/>
      <c r="G381" s="135"/>
    </row>
    <row r="382" spans="2:7" ht="19.5" hidden="1" customHeight="1">
      <c r="B382" s="135" t="str">
        <f>'Lang Drops'!T11</f>
        <v>full depth skeg</v>
      </c>
      <c r="C382" s="464">
        <v>1</v>
      </c>
      <c r="D382" s="135" t="s">
        <v>4071</v>
      </c>
      <c r="E382" s="458"/>
      <c r="F382" s="458"/>
      <c r="G382" s="135"/>
    </row>
    <row r="383" spans="2:7" ht="19.5" hidden="1" customHeight="1">
      <c r="B383" s="135" t="str">
        <f>'Lang Drops'!U11</f>
        <v>traditonal hung on keel</v>
      </c>
      <c r="C383" s="464">
        <v>1</v>
      </c>
      <c r="D383" s="135" t="s">
        <v>3321</v>
      </c>
      <c r="E383" s="458"/>
      <c r="F383" s="458"/>
      <c r="G383" s="135"/>
    </row>
    <row r="384" spans="2:7" ht="19.5" hidden="1" customHeight="1">
      <c r="B384" s="135" t="str">
        <f>'Lang Drops'!V11</f>
        <v>other (please specify)</v>
      </c>
      <c r="C384" s="464">
        <v>1</v>
      </c>
      <c r="D384" s="135" t="s">
        <v>834</v>
      </c>
      <c r="E384" s="458"/>
      <c r="F384" s="458"/>
      <c r="G384" s="135"/>
    </row>
    <row r="385" spans="2:7" ht="19.5" hidden="1" customHeight="1">
      <c r="B385" s="135" t="str">
        <f>'Lang Drops'!D1</f>
        <v>&lt;select from list&gt;</v>
      </c>
      <c r="C385" s="464">
        <v>1</v>
      </c>
      <c r="D385" s="135" t="s">
        <v>4062</v>
      </c>
      <c r="E385" s="458"/>
      <c r="F385" s="458"/>
      <c r="G385" s="135"/>
    </row>
    <row r="386" spans="2:7" ht="19.5" hidden="1" customHeight="1">
      <c r="B386" s="135" t="str">
        <f>'Lang Drops'!D21</f>
        <v>exotic core (eg honeycomb)</v>
      </c>
      <c r="C386" s="464">
        <v>1</v>
      </c>
      <c r="D386" s="135" t="s">
        <v>3316</v>
      </c>
      <c r="E386" s="458"/>
      <c r="F386" s="458"/>
      <c r="G386" s="135"/>
    </row>
    <row r="387" spans="2:7" ht="19.5" hidden="1" customHeight="1">
      <c r="B387" s="135" t="str">
        <f>'Lang Drops'!E21</f>
        <v>carbon foam sandwich</v>
      </c>
      <c r="C387" s="464">
        <v>1</v>
      </c>
      <c r="D387" s="135" t="s">
        <v>206</v>
      </c>
      <c r="E387" s="458"/>
      <c r="F387" s="458"/>
      <c r="G387" s="135"/>
    </row>
    <row r="388" spans="2:7" ht="19.5" hidden="1" customHeight="1">
      <c r="B388" s="135" t="str">
        <f>'Lang Drops'!F21</f>
        <v>kevlar foam sandwich</v>
      </c>
      <c r="C388" s="464">
        <v>1</v>
      </c>
      <c r="D388" s="135" t="s">
        <v>1693</v>
      </c>
      <c r="E388" s="458"/>
      <c r="F388" s="458"/>
      <c r="G388" s="135"/>
    </row>
    <row r="389" spans="2:7" ht="19.5" hidden="1" customHeight="1">
      <c r="B389" s="135" t="str">
        <f>'Lang Drops'!G21</f>
        <v>glass foam sandwich</v>
      </c>
      <c r="C389" s="464">
        <v>1</v>
      </c>
      <c r="D389" s="135" t="s">
        <v>1694</v>
      </c>
      <c r="E389" s="458"/>
      <c r="F389" s="458"/>
      <c r="G389" s="135"/>
    </row>
    <row r="390" spans="2:7" ht="19.5" hidden="1" customHeight="1">
      <c r="B390" s="135" t="str">
        <f>'Lang Drops'!H21</f>
        <v>solid glass</v>
      </c>
      <c r="C390" s="464"/>
      <c r="D390" s="135"/>
      <c r="E390" s="458"/>
      <c r="F390" s="458"/>
      <c r="G390" s="135"/>
    </row>
    <row r="391" spans="2:7" ht="19.5" hidden="1" customHeight="1">
      <c r="B391" s="135" t="str">
        <f>'Lang Drops'!I21</f>
        <v>aluminium</v>
      </c>
      <c r="C391" s="464">
        <v>1</v>
      </c>
      <c r="D391" s="135" t="s">
        <v>3495</v>
      </c>
      <c r="E391" s="458"/>
      <c r="F391" s="458"/>
      <c r="G391" s="135"/>
    </row>
    <row r="392" spans="2:7" ht="19.5" hidden="1" customHeight="1">
      <c r="B392" s="135" t="str">
        <f>'Lang Drops'!J21</f>
        <v>moulded wood</v>
      </c>
      <c r="C392" s="464"/>
      <c r="D392" s="135" t="s">
        <v>3932</v>
      </c>
      <c r="E392" s="458"/>
      <c r="F392" s="458"/>
      <c r="G392" s="135"/>
    </row>
    <row r="393" spans="2:7" ht="19.5" hidden="1" customHeight="1">
      <c r="B393" s="135" t="str">
        <f>'Lang Drops'!K21</f>
        <v>ply</v>
      </c>
      <c r="C393" s="464">
        <v>1</v>
      </c>
      <c r="D393" s="135" t="s">
        <v>1737</v>
      </c>
      <c r="E393" s="458"/>
      <c r="F393" s="458"/>
      <c r="G393" s="135"/>
    </row>
    <row r="394" spans="2:7" ht="19.5" hidden="1" customHeight="1">
      <c r="B394" s="135" t="str">
        <f>'Lang Drops'!L21</f>
        <v>heavy classic wood</v>
      </c>
      <c r="C394" s="464">
        <v>1</v>
      </c>
      <c r="D394" s="135" t="s">
        <v>1738</v>
      </c>
      <c r="E394" s="458"/>
      <c r="F394" s="458"/>
      <c r="G394" s="135"/>
    </row>
    <row r="395" spans="2:7" ht="19.5" hidden="1" customHeight="1">
      <c r="B395" s="135" t="str">
        <f>'Lang Drops'!M21</f>
        <v>steel</v>
      </c>
      <c r="C395" s="464">
        <v>1</v>
      </c>
      <c r="D395" s="135" t="s">
        <v>1359</v>
      </c>
      <c r="E395" s="458"/>
      <c r="F395" s="458"/>
      <c r="G395" s="135"/>
    </row>
    <row r="396" spans="2:7" ht="19.5" hidden="1" customHeight="1">
      <c r="B396" s="135" t="str">
        <f>'Lang Drops'!N21</f>
        <v>concrete</v>
      </c>
      <c r="C396" s="464" t="b">
        <v>0</v>
      </c>
      <c r="D396" s="135" t="s">
        <v>3881</v>
      </c>
      <c r="E396" s="458"/>
      <c r="F396" s="458"/>
      <c r="G396" s="135"/>
    </row>
    <row r="397" spans="2:7" ht="19.5" hidden="1" customHeight="1">
      <c r="B397" s="135" t="str">
        <f>'Lang Drops'!O21</f>
        <v>Other or various (give full details)</v>
      </c>
      <c r="C397" s="464">
        <v>1</v>
      </c>
      <c r="D397" s="135" t="s">
        <v>3247</v>
      </c>
      <c r="E397" s="458"/>
      <c r="F397" s="458"/>
      <c r="G397" s="135"/>
    </row>
    <row r="398" spans="2:7" ht="19.5" hidden="1" customHeight="1">
      <c r="B398" s="135"/>
      <c r="C398" s="464">
        <v>1</v>
      </c>
      <c r="D398" s="135" t="s">
        <v>2436</v>
      </c>
      <c r="E398" s="458"/>
      <c r="F398" s="458"/>
      <c r="G398" s="135"/>
    </row>
    <row r="399" spans="2:7" ht="19.5" hidden="1" customHeight="1">
      <c r="B399" s="135" t="str">
        <f>'Lang Drops'!D1</f>
        <v>&lt;select from list&gt;</v>
      </c>
      <c r="C399" s="464"/>
      <c r="D399" s="135"/>
      <c r="E399" s="458"/>
      <c r="F399" s="458"/>
      <c r="G399" s="135"/>
    </row>
    <row r="400" spans="2:7" ht="19.5" hidden="1" customHeight="1">
      <c r="B400" s="135" t="str">
        <f>'Lang Drops'!D31</f>
        <v>empty interior</v>
      </c>
      <c r="C400" s="464">
        <v>1</v>
      </c>
      <c r="D400" s="135" t="s">
        <v>2437</v>
      </c>
      <c r="E400" s="458"/>
      <c r="F400" s="458"/>
      <c r="G400" s="135"/>
    </row>
    <row r="401" spans="2:8" ht="19.5" hidden="1" customHeight="1">
      <c r="B401" s="135" t="str">
        <f>'Lang Drops'!E31</f>
        <v>spartan interior, minimal equipment</v>
      </c>
      <c r="C401" s="464">
        <f>D119*0.02</f>
        <v>0</v>
      </c>
      <c r="D401" s="135" t="s">
        <v>3619</v>
      </c>
      <c r="E401" s="458"/>
      <c r="F401" s="458"/>
      <c r="G401" s="135"/>
    </row>
    <row r="402" spans="2:8" ht="19.5" hidden="1" customHeight="1">
      <c r="B402" s="135" t="str">
        <f>'Lang Drops'!F31</f>
        <v>central fitout but empty fore/aft</v>
      </c>
      <c r="C402" s="594">
        <v>1</v>
      </c>
      <c r="D402" s="595" t="s">
        <v>3182</v>
      </c>
      <c r="E402" s="596"/>
      <c r="F402" s="458"/>
      <c r="G402" s="135"/>
    </row>
    <row r="403" spans="2:8" ht="19.5" hidden="1" customHeight="1">
      <c r="B403" s="135" t="str">
        <f>'Lang Drops'!G31</f>
        <v>full fitout including fore/aft berths</v>
      </c>
      <c r="C403" s="464" t="b">
        <f>AND(D119&gt;0,D120&gt;0,D123&gt;0,D122&gt;0,D121&gt;0)</f>
        <v>0</v>
      </c>
      <c r="D403" s="135" t="s">
        <v>2193</v>
      </c>
      <c r="E403" s="458"/>
      <c r="F403" s="458"/>
      <c r="G403" s="135"/>
    </row>
    <row r="404" spans="2:8" ht="19.5" hidden="1" customHeight="1">
      <c r="B404" s="135" t="str">
        <f>'Lang Drops'!I31</f>
        <v>other (please specify)</v>
      </c>
      <c r="C404" s="464" t="b">
        <f>AND(D132&gt;0,D133&gt;0,D134&gt;0,D135&gt;0,D136&gt;0)</f>
        <v>0</v>
      </c>
      <c r="D404" s="135" t="s">
        <v>5665</v>
      </c>
      <c r="E404" s="458"/>
      <c r="F404" s="458"/>
      <c r="G404" s="135"/>
    </row>
    <row r="405" spans="2:8" ht="19.5" hidden="1" customHeight="1">
      <c r="B405" s="135">
        <f>'Lang Drops'!J31</f>
        <v>0</v>
      </c>
      <c r="C405" s="464"/>
      <c r="D405" s="135"/>
      <c r="E405" s="458"/>
      <c r="F405" s="458"/>
      <c r="G405" s="135"/>
    </row>
    <row r="406" spans="2:8" ht="19.5" hidden="1" customHeight="1">
      <c r="B406" s="135">
        <f>'Lang Drops'!K31</f>
        <v>0</v>
      </c>
      <c r="C406" s="464">
        <v>1</v>
      </c>
      <c r="D406" s="135" t="s">
        <v>4163</v>
      </c>
      <c r="E406" s="458"/>
      <c r="F406" s="458"/>
      <c r="G406" s="135"/>
    </row>
    <row r="407" spans="2:8" ht="19.5" hidden="1" customHeight="1">
      <c r="B407" s="135" t="str">
        <f>'Lang Drops'!D1</f>
        <v>&lt;select from list&gt;</v>
      </c>
      <c r="C407" s="464">
        <v>1</v>
      </c>
      <c r="D407" s="135" t="s">
        <v>839</v>
      </c>
      <c r="E407" s="458"/>
      <c r="F407" s="458"/>
      <c r="G407" s="135"/>
    </row>
    <row r="408" spans="2:8" ht="19.5" hidden="1" customHeight="1">
      <c r="B408" s="135" t="str">
        <f>'Lang Drops'!L31</f>
        <v>none</v>
      </c>
      <c r="C408" s="464">
        <v>1</v>
      </c>
      <c r="D408" s="135" t="s">
        <v>835</v>
      </c>
      <c r="E408" s="458"/>
      <c r="F408" s="458"/>
      <c r="G408" s="135"/>
    </row>
    <row r="409" spans="2:8" ht="19.5" hidden="1" customHeight="1">
      <c r="B409" s="135" t="str">
        <f>'Lang Drops'!M31</f>
        <v>Twin lateral retractable</v>
      </c>
      <c r="C409" s="120">
        <v>1</v>
      </c>
      <c r="D409" s="135" t="s">
        <v>840</v>
      </c>
      <c r="E409" s="458"/>
      <c r="F409" s="458"/>
      <c r="G409" s="135"/>
    </row>
    <row r="410" spans="2:8" ht="19.5" hidden="1" customHeight="1">
      <c r="B410" s="135" t="str">
        <f>'Lang Drops'!N31</f>
        <v>Forward, gybing (non-controllable)</v>
      </c>
      <c r="C410" s="120">
        <v>1</v>
      </c>
      <c r="D410" s="135" t="s">
        <v>649</v>
      </c>
      <c r="E410" s="458"/>
      <c r="F410" s="458"/>
      <c r="G410" s="135"/>
    </row>
    <row r="411" spans="2:8" ht="19.5" hidden="1" customHeight="1">
      <c r="B411" s="135" t="str">
        <f>'Lang Drops'!D1</f>
        <v>&lt;select from list&gt;</v>
      </c>
      <c r="C411" s="464">
        <v>1</v>
      </c>
      <c r="D411" s="135" t="s">
        <v>1092</v>
      </c>
      <c r="E411" s="458"/>
      <c r="F411" s="458"/>
      <c r="G411" s="135"/>
      <c r="H411" s="103"/>
    </row>
    <row r="412" spans="2:8" ht="19.5" hidden="1" customHeight="1">
      <c r="B412" s="135" t="str">
        <f>'Lang Drops'!L31</f>
        <v>none</v>
      </c>
      <c r="C412" s="464" t="b">
        <v>0</v>
      </c>
      <c r="D412" s="135" t="s">
        <v>554</v>
      </c>
      <c r="E412" s="458"/>
      <c r="F412" s="458"/>
      <c r="G412" s="135"/>
      <c r="H412" s="103"/>
    </row>
    <row r="413" spans="2:8" ht="19.5" hidden="1" customHeight="1">
      <c r="B413" s="135" t="str">
        <f>'Lang Drops'!O31</f>
        <v>on keel</v>
      </c>
      <c r="C413" s="464">
        <v>1</v>
      </c>
      <c r="D413" s="135" t="s">
        <v>4369</v>
      </c>
      <c r="E413" s="458"/>
      <c r="F413" s="458"/>
      <c r="G413" s="135"/>
    </row>
    <row r="414" spans="2:8" ht="19.5" hidden="1" customHeight="1">
      <c r="B414" s="135" t="str">
        <f>'Lang Drops'!P31</f>
        <v>on canard</v>
      </c>
      <c r="C414" s="120">
        <v>1</v>
      </c>
      <c r="D414" s="135" t="s">
        <v>4522</v>
      </c>
      <c r="E414" s="458"/>
      <c r="F414" s="458"/>
      <c r="G414" s="135"/>
    </row>
    <row r="415" spans="2:8" ht="19.5" hidden="1" customHeight="1">
      <c r="B415" s="135" t="str">
        <f>'Lang Drops'!D1</f>
        <v>&lt;select from list&gt;</v>
      </c>
      <c r="C415" s="464"/>
      <c r="D415" s="135"/>
      <c r="E415" s="458"/>
      <c r="F415" s="458"/>
      <c r="G415" s="135"/>
    </row>
    <row r="416" spans="2:8" ht="19.5" hidden="1" customHeight="1">
      <c r="B416" s="135" t="str">
        <f>'Lang Drops'!L31</f>
        <v>none</v>
      </c>
      <c r="C416" s="464"/>
      <c r="D416" s="135"/>
      <c r="E416" s="458"/>
      <c r="F416" s="458"/>
      <c r="G416" s="135"/>
    </row>
    <row r="417" spans="1:7" ht="19.5" hidden="1" customHeight="1">
      <c r="B417" s="135" t="str">
        <f>'Lang Drops'!Q31</f>
        <v>forward rudder (controllable)</v>
      </c>
      <c r="C417" s="464"/>
      <c r="D417" s="135" t="b">
        <f>AND(D144&gt;0,D145&gt;0,D146&gt;0,D147&gt;0)</f>
        <v>0</v>
      </c>
      <c r="E417" s="458"/>
      <c r="F417" s="458"/>
      <c r="G417" s="135"/>
    </row>
    <row r="418" spans="1:7" ht="19.5" hidden="1" customHeight="1">
      <c r="B418" s="135" t="str">
        <f>'Lang Drops'!R31</f>
        <v>canard</v>
      </c>
      <c r="C418" s="464"/>
      <c r="D418" s="135"/>
      <c r="E418" s="458"/>
      <c r="F418" s="458"/>
      <c r="G418" s="135"/>
    </row>
    <row r="419" spans="1:7" ht="19.5" hidden="1" customHeight="1">
      <c r="B419" s="135" t="str">
        <f>'Lang Drops'!S31</f>
        <v>canard with trim tab</v>
      </c>
      <c r="C419" s="464"/>
      <c r="D419" s="135"/>
      <c r="E419" s="458"/>
      <c r="F419" s="458"/>
      <c r="G419" s="135"/>
    </row>
    <row r="420" spans="1:7" ht="19.5" hidden="1" customHeight="1">
      <c r="B420" s="135" t="str">
        <f>'Lang Drops'!D1</f>
        <v>&lt;select from list&gt;</v>
      </c>
      <c r="C420" s="120"/>
      <c r="D420" s="135"/>
      <c r="E420" s="458"/>
      <c r="F420" s="458"/>
      <c r="G420" s="135"/>
    </row>
    <row r="421" spans="1:7" ht="19.5" hidden="1" customHeight="1">
      <c r="B421" s="463" t="str">
        <f>'Lang Drops'!D41</f>
        <v>masthead</v>
      </c>
      <c r="C421" s="464" t="s">
        <v>696</v>
      </c>
      <c r="D421" s="135" t="b">
        <f>AND(D151&gt;0,D152&gt;0,D153&gt;0,D154&gt;0)</f>
        <v>0</v>
      </c>
      <c r="E421" s="458"/>
      <c r="F421" s="458"/>
      <c r="G421" s="135"/>
    </row>
    <row r="422" spans="1:7" ht="19.5" hidden="1" customHeight="1">
      <c r="B422" s="463" t="str">
        <f>'Lang Drops'!E41</f>
        <v>fractional</v>
      </c>
      <c r="C422" s="464"/>
      <c r="D422" s="135"/>
      <c r="E422" s="458"/>
      <c r="F422" s="458"/>
      <c r="G422" s="135"/>
    </row>
    <row r="423" spans="1:7" ht="19.5" hidden="1" customHeight="1">
      <c r="B423" s="135"/>
      <c r="C423" s="464"/>
      <c r="D423" s="135"/>
      <c r="E423" s="458"/>
      <c r="F423" s="458"/>
      <c r="G423" s="135"/>
    </row>
    <row r="424" spans="1:7" ht="19.5" hidden="1" customHeight="1">
      <c r="B424" s="135"/>
      <c r="C424" s="464"/>
      <c r="D424" s="135"/>
      <c r="E424" s="458"/>
      <c r="F424" s="458"/>
      <c r="G424" s="135"/>
    </row>
    <row r="425" spans="1:7" ht="19.5" hidden="1" customHeight="1">
      <c r="B425" s="135" t="str">
        <f>'Lang Drops'!D1</f>
        <v>&lt;select from list&gt;</v>
      </c>
      <c r="C425" s="464" t="s">
        <v>696</v>
      </c>
      <c r="D425" s="135"/>
      <c r="E425" s="458"/>
      <c r="F425" s="458"/>
      <c r="G425" s="135"/>
    </row>
    <row r="426" spans="1:7" ht="19.5" hidden="1" customHeight="1">
      <c r="B426" s="135" t="str">
        <f>'Lang Drops'!F41</f>
        <v>no spinnaker pole or bowsprit (スピンタックをデッキ上にとること可)</v>
      </c>
      <c r="C426" s="120"/>
      <c r="D426" s="135"/>
      <c r="E426" s="458"/>
      <c r="F426" s="458"/>
      <c r="G426" s="135"/>
    </row>
    <row r="427" spans="1:7" ht="19.5" hidden="1" customHeight="1">
      <c r="B427" s="135" t="str">
        <f>'Lang Drops'!G41</f>
        <v>centreline bowsprit only</v>
      </c>
      <c r="C427" s="464" t="s">
        <v>696</v>
      </c>
      <c r="D427" s="135"/>
      <c r="E427" s="458" t="s">
        <v>2849</v>
      </c>
      <c r="F427" s="458"/>
      <c r="G427" s="135"/>
    </row>
    <row r="428" spans="1:7" ht="19.5" hidden="1" customHeight="1">
      <c r="B428" s="135" t="str">
        <f>'Lang Drops'!H41</f>
        <v>spinnaker pole(s), NO bowsprit</v>
      </c>
      <c r="C428" s="464"/>
      <c r="D428" s="135"/>
      <c r="E428" s="458"/>
      <c r="F428" s="458"/>
      <c r="G428" s="135"/>
    </row>
    <row r="429" spans="1:7" ht="19.5" hidden="1" customHeight="1">
      <c r="B429" s="135" t="str">
        <f>'Lang Drops'!I41</f>
        <v>spinnaker pole(s) AND bowsprit</v>
      </c>
      <c r="C429" s="464"/>
      <c r="D429" s="135"/>
      <c r="E429" s="458"/>
      <c r="F429" s="458"/>
      <c r="G429" s="135"/>
    </row>
    <row r="430" spans="1:7" ht="19.5" hidden="1" customHeight="1">
      <c r="B430" s="135" t="str">
        <f>'Lang Drops'!K41</f>
        <v>articulating bowsprit</v>
      </c>
      <c r="C430" s="464"/>
      <c r="D430" s="135"/>
      <c r="E430" s="458"/>
      <c r="F430" s="458"/>
      <c r="G430" s="135"/>
    </row>
    <row r="431" spans="1:7" ht="19.5" hidden="1" customHeight="1">
      <c r="A431" s="552">
        <v>1</v>
      </c>
      <c r="B431" s="135" t="str">
        <f>'Lang Drops'!J41</f>
        <v>ヘッドセイルもしくはフライングヘッドセイルを、風下に展開するためにポールを使いますか？</v>
      </c>
      <c r="C431" s="120"/>
      <c r="D431" s="135"/>
      <c r="E431" s="458" t="s">
        <v>2850</v>
      </c>
      <c r="F431" s="458"/>
      <c r="G431" s="135"/>
    </row>
    <row r="432" spans="1:7" ht="19.5" hidden="1" customHeight="1">
      <c r="B432" s="135" t="str">
        <f>'Lang Drops'!D1</f>
        <v>&lt;select from list&gt;</v>
      </c>
      <c r="C432" s="464"/>
      <c r="D432" s="135"/>
      <c r="E432" s="458"/>
      <c r="F432" s="458"/>
      <c r="G432" s="135"/>
    </row>
    <row r="433" spans="2:8" ht="19.5" hidden="1" customHeight="1">
      <c r="B433" s="135" t="str">
        <f>'Lang Drops'!L41</f>
        <v>aluminium/alloy</v>
      </c>
      <c r="C433" s="464"/>
      <c r="D433" s="135"/>
      <c r="E433" s="458" t="s">
        <v>4318</v>
      </c>
      <c r="F433" s="460"/>
      <c r="G433" s="135"/>
    </row>
    <row r="434" spans="2:8" ht="19.5" hidden="1" customHeight="1">
      <c r="B434" s="135" t="str">
        <f>'Lang Drops'!M41</f>
        <v>carbon</v>
      </c>
      <c r="C434" s="464"/>
      <c r="D434" s="464">
        <v>1</v>
      </c>
      <c r="E434" s="460" t="s">
        <v>3929</v>
      </c>
      <c r="F434" s="460"/>
      <c r="G434" s="135"/>
    </row>
    <row r="435" spans="2:8" ht="19.5" hidden="1" customHeight="1">
      <c r="B435" s="135" t="str">
        <f>'Lang Drops'!N41</f>
        <v>wood</v>
      </c>
      <c r="C435" s="464" t="s">
        <v>696</v>
      </c>
      <c r="D435" s="464"/>
      <c r="E435" s="460" t="s">
        <v>4314</v>
      </c>
      <c r="F435" s="460"/>
      <c r="G435" s="135"/>
    </row>
    <row r="436" spans="2:8" ht="19.5" hidden="1" customHeight="1">
      <c r="B436" s="135" t="str">
        <f>'Lang Drops'!O41</f>
        <v>other (please specify)</v>
      </c>
      <c r="C436" s="120"/>
      <c r="D436" s="464"/>
      <c r="E436" s="460" t="s">
        <v>4315</v>
      </c>
      <c r="F436" s="460"/>
      <c r="G436" s="135"/>
    </row>
    <row r="437" spans="2:8" ht="19.5" hidden="1" customHeight="1">
      <c r="B437" s="135"/>
      <c r="C437" s="464"/>
      <c r="D437" s="464"/>
      <c r="E437" s="460" t="s">
        <v>4316</v>
      </c>
      <c r="F437" s="460"/>
      <c r="G437" s="135"/>
    </row>
    <row r="438" spans="2:8" ht="19.5" hidden="1" customHeight="1">
      <c r="B438" s="135" t="str">
        <f>'Lang Drops'!D1</f>
        <v>&lt;select from list&gt;</v>
      </c>
      <c r="C438" s="464"/>
      <c r="D438" s="464"/>
      <c r="E438" s="460" t="s">
        <v>4317</v>
      </c>
      <c r="F438" s="458"/>
      <c r="G438" s="135"/>
    </row>
    <row r="439" spans="2:8" ht="19.5" hidden="1" customHeight="1">
      <c r="B439" s="135" t="str">
        <f>'Lang Drops'!P41</f>
        <v>less than 5 degrees</v>
      </c>
      <c r="C439" s="464"/>
      <c r="D439" s="135"/>
      <c r="E439" s="458"/>
      <c r="F439" s="458"/>
      <c r="G439" s="135"/>
    </row>
    <row r="440" spans="2:8" ht="19.5" hidden="1" customHeight="1">
      <c r="B440" s="135" t="str">
        <f>'Lang Drops'!Q41</f>
        <v>more than 5 degrees</v>
      </c>
      <c r="C440" s="120"/>
      <c r="D440" s="135"/>
      <c r="F440" s="458"/>
      <c r="G440" s="135"/>
      <c r="H440" s="135"/>
    </row>
    <row r="441" spans="2:8" ht="19.5" hidden="1" customHeight="1">
      <c r="C441" s="464"/>
      <c r="D441" s="135"/>
      <c r="F441" s="458"/>
      <c r="G441" s="531" t="s">
        <v>4777</v>
      </c>
      <c r="H441" s="530">
        <v>6</v>
      </c>
    </row>
    <row r="442" spans="2:8" ht="19.5" hidden="1" customHeight="1">
      <c r="B442" s="135"/>
      <c r="D442" s="135"/>
      <c r="F442" s="458"/>
      <c r="G442" s="135"/>
      <c r="H442" s="135"/>
    </row>
    <row r="443" spans="2:8" ht="19.5" hidden="1" customHeight="1">
      <c r="B443" s="135" t="str">
        <f>'Lang Drops'!D1</f>
        <v>&lt;select from list&gt;</v>
      </c>
      <c r="C443" s="464"/>
      <c r="D443" s="135"/>
      <c r="E443" s="458"/>
      <c r="F443" s="458"/>
      <c r="G443" s="135"/>
      <c r="H443" s="135"/>
    </row>
    <row r="444" spans="2:8" ht="19.5" hidden="1" customHeight="1">
      <c r="B444" s="135" t="str">
        <f>'Lang Drops'!D51</f>
        <v>no engine</v>
      </c>
      <c r="C444" s="464"/>
      <c r="D444" s="135"/>
      <c r="E444" s="458"/>
      <c r="F444" s="458"/>
      <c r="G444" s="135"/>
      <c r="H444" s="135"/>
    </row>
    <row r="445" spans="2:8" ht="19.5" hidden="1" customHeight="1">
      <c r="B445" s="135" t="str">
        <f>'Lang Drops'!E51</f>
        <v>outboard</v>
      </c>
      <c r="C445" s="464" t="s">
        <v>696</v>
      </c>
      <c r="D445" s="135"/>
      <c r="E445" s="458"/>
      <c r="F445" s="458"/>
      <c r="G445" s="135"/>
      <c r="H445" s="135"/>
    </row>
    <row r="446" spans="2:8" ht="19.5" hidden="1" customHeight="1">
      <c r="B446" s="135" t="str">
        <f>'Lang Drops'!F51</f>
        <v>inboard</v>
      </c>
      <c r="C446" s="120"/>
      <c r="D446" s="135"/>
      <c r="E446" s="458"/>
      <c r="F446" s="458"/>
      <c r="G446" s="135"/>
      <c r="H446" s="135"/>
    </row>
    <row r="447" spans="2:8" ht="19.5" hidden="1" customHeight="1">
      <c r="B447" s="135" t="str">
        <f>'Lang Drops'!D1</f>
        <v>&lt;select from list&gt;</v>
      </c>
      <c r="C447" s="464"/>
      <c r="D447" s="135"/>
      <c r="E447" s="458"/>
      <c r="F447" s="458"/>
      <c r="G447" s="135"/>
      <c r="H447" s="135"/>
    </row>
    <row r="448" spans="2:8" ht="19.5" hidden="1" customHeight="1">
      <c r="B448" s="135" t="str">
        <f>'Lang Drops'!G51</f>
        <v>n/a:outboard engine</v>
      </c>
      <c r="C448" s="464" t="s">
        <v>1713</v>
      </c>
      <c r="D448" s="135"/>
      <c r="E448" s="458"/>
      <c r="F448" s="458"/>
      <c r="G448" s="135"/>
      <c r="H448" s="135"/>
    </row>
    <row r="449" spans="2:8" ht="19.5" hidden="1" customHeight="1">
      <c r="B449" s="135" t="str">
        <f>'Lang Drops'!H51</f>
        <v>2 folding / feathering blades</v>
      </c>
      <c r="C449" s="464"/>
      <c r="D449" s="135"/>
      <c r="E449" s="458"/>
      <c r="F449" s="458"/>
      <c r="G449" s="135"/>
      <c r="H449" s="135"/>
    </row>
    <row r="450" spans="2:8" ht="19.5" hidden="1" customHeight="1">
      <c r="B450" s="135" t="str">
        <f>'Lang Drops'!I51</f>
        <v>2 fixed blades</v>
      </c>
      <c r="C450" s="464"/>
      <c r="D450" s="135"/>
      <c r="E450" s="458"/>
      <c r="F450" s="458"/>
      <c r="G450" s="135"/>
      <c r="H450" s="135"/>
    </row>
    <row r="451" spans="2:8" ht="19.5" hidden="1" customHeight="1">
      <c r="B451" s="135" t="str">
        <f>'Lang Drops'!J51</f>
        <v>3 fixed blades</v>
      </c>
      <c r="C451" s="464"/>
      <c r="D451" s="135"/>
      <c r="E451" s="458"/>
      <c r="F451" s="458"/>
      <c r="G451" s="135"/>
      <c r="H451" s="135"/>
    </row>
    <row r="452" spans="2:8" ht="19.5" hidden="1" customHeight="1">
      <c r="B452" s="135" t="str">
        <f>'Lang Drops'!K51</f>
        <v>3 feathering blades</v>
      </c>
      <c r="C452" s="464"/>
      <c r="D452" s="135"/>
      <c r="E452" s="458"/>
      <c r="F452" s="458"/>
      <c r="G452" s="135"/>
      <c r="H452" s="135"/>
    </row>
    <row r="453" spans="2:8" ht="19.5" hidden="1" customHeight="1">
      <c r="B453" s="135" t="str">
        <f>'Lang Drops'!L51</f>
        <v>3 folding blades</v>
      </c>
      <c r="C453" s="464"/>
      <c r="D453" s="135"/>
      <c r="E453" s="458"/>
      <c r="F453" s="458"/>
      <c r="G453" s="135"/>
      <c r="H453" s="135"/>
    </row>
    <row r="454" spans="2:8" ht="19.5" hidden="1" customHeight="1">
      <c r="B454" s="135" t="str">
        <f>'Lang Drops'!M51</f>
        <v>4+ folding / feathering blades</v>
      </c>
      <c r="C454" s="464"/>
      <c r="D454" s="135"/>
      <c r="E454" s="458"/>
      <c r="F454" s="458"/>
      <c r="G454" s="135"/>
      <c r="H454" s="135"/>
    </row>
    <row r="455" spans="2:8" ht="19.5" hidden="1" customHeight="1">
      <c r="B455" s="135" t="str">
        <f>'Lang Drops'!N51</f>
        <v>retractable</v>
      </c>
      <c r="C455" s="464"/>
      <c r="D455" s="135"/>
      <c r="E455" s="458"/>
      <c r="F455" s="458"/>
      <c r="G455" s="135"/>
      <c r="H455" s="135"/>
    </row>
    <row r="456" spans="2:8" ht="19.5" hidden="1" customHeight="1">
      <c r="B456" s="135" t="str">
        <f>'Lang Drops'!D1</f>
        <v>&lt;select from list&gt;</v>
      </c>
      <c r="C456" s="464"/>
      <c r="D456" s="135"/>
      <c r="E456" s="458"/>
      <c r="F456" s="458"/>
      <c r="G456" s="135"/>
      <c r="H456" s="135"/>
    </row>
    <row r="457" spans="2:8" ht="19.5" hidden="1" customHeight="1">
      <c r="B457" s="135" t="str">
        <f>'Lang Drops'!R51</f>
        <v>bermudian</v>
      </c>
      <c r="C457" s="464"/>
      <c r="D457" s="135"/>
      <c r="E457" s="458"/>
      <c r="F457" s="458"/>
      <c r="G457" s="135"/>
      <c r="H457" s="135"/>
    </row>
    <row r="458" spans="2:8" ht="19.5" hidden="1" customHeight="1">
      <c r="B458" s="135" t="str">
        <f>'Lang Drops'!S51</f>
        <v>gaff</v>
      </c>
      <c r="C458" s="120"/>
      <c r="D458" s="135"/>
      <c r="E458" s="458"/>
      <c r="F458" s="458"/>
      <c r="G458" s="135"/>
      <c r="H458" s="135"/>
    </row>
    <row r="459" spans="2:8" ht="19.5" hidden="1" customHeight="1">
      <c r="B459" s="135" t="str">
        <f>'Lang Drops'!T51</f>
        <v>wishbone</v>
      </c>
      <c r="C459" s="464"/>
      <c r="D459" s="135"/>
      <c r="E459" s="458"/>
      <c r="F459" s="458"/>
      <c r="G459" s="135"/>
      <c r="H459" s="135"/>
    </row>
    <row r="460" spans="2:8" ht="19.5" hidden="1" customHeight="1">
      <c r="B460" s="135" t="str">
        <f>'Lang Drops'!D1</f>
        <v>&lt;select from list&gt;</v>
      </c>
      <c r="C460" s="464"/>
      <c r="D460" s="135"/>
      <c r="E460" s="458"/>
      <c r="F460" s="458"/>
      <c r="G460" s="135"/>
      <c r="H460" s="135"/>
    </row>
    <row r="461" spans="2:8" ht="19.5" hidden="1" customHeight="1">
      <c r="B461" s="135" t="str">
        <f>'Lang Drops'!U51</f>
        <v>sloop</v>
      </c>
      <c r="C461" s="464"/>
      <c r="D461" s="135"/>
      <c r="E461" s="458"/>
      <c r="F461" s="458"/>
      <c r="G461" s="135"/>
      <c r="H461" s="135"/>
    </row>
    <row r="462" spans="2:8" ht="19.5" hidden="1" customHeight="1">
      <c r="B462" s="135" t="str">
        <f>'Lang Drops'!V51</f>
        <v>yawl</v>
      </c>
      <c r="C462" s="464"/>
      <c r="D462" s="135"/>
      <c r="E462" s="458"/>
      <c r="F462" s="458"/>
      <c r="G462" s="135"/>
      <c r="H462" s="135"/>
    </row>
    <row r="463" spans="2:8" ht="19.5" hidden="1" customHeight="1">
      <c r="B463" s="135" t="str">
        <f>'Lang Drops'!W51</f>
        <v>ketch</v>
      </c>
      <c r="C463" s="464"/>
      <c r="D463" s="135"/>
      <c r="E463" s="458"/>
      <c r="F463" s="458"/>
      <c r="G463" s="135"/>
      <c r="H463" s="135"/>
    </row>
    <row r="464" spans="2:8" ht="19.5" hidden="1" customHeight="1">
      <c r="B464" s="135" t="str">
        <f>'Lang Drops'!X51</f>
        <v>cutter</v>
      </c>
      <c r="C464" s="464"/>
      <c r="D464" s="135"/>
      <c r="E464" s="458"/>
      <c r="F464" s="458"/>
      <c r="G464" s="135"/>
      <c r="H464" s="135"/>
    </row>
    <row r="465" spans="2:8" ht="19.5" hidden="1" customHeight="1">
      <c r="B465" s="135" t="str">
        <f>'Lang Drops'!Y51</f>
        <v>cat</v>
      </c>
      <c r="C465" s="464"/>
      <c r="D465" s="135"/>
      <c r="E465" s="458"/>
      <c r="F465" s="458"/>
      <c r="G465" s="135"/>
      <c r="H465" s="135"/>
    </row>
    <row r="466" spans="2:8" ht="19.5" hidden="1" customHeight="1">
      <c r="B466" s="135" t="str">
        <f>'Lang Drops'!Z51</f>
        <v>schooner</v>
      </c>
      <c r="C466" s="464"/>
      <c r="D466" s="135"/>
      <c r="E466" s="458"/>
      <c r="F466" s="458"/>
      <c r="G466" s="135"/>
      <c r="H466" s="135"/>
    </row>
    <row r="467" spans="2:8" ht="19.5" hidden="1" customHeight="1">
      <c r="B467" s="135"/>
      <c r="C467" s="464"/>
      <c r="D467" s="135"/>
      <c r="E467" s="458"/>
      <c r="F467" s="458"/>
      <c r="G467" s="135"/>
      <c r="H467" s="135"/>
    </row>
    <row r="468" spans="2:8" ht="19.5" hidden="1" customHeight="1">
      <c r="B468" s="135" t="str">
        <f>'Lang Drops'!D1</f>
        <v>&lt;select from list&gt;</v>
      </c>
      <c r="C468" s="464"/>
      <c r="D468" s="135"/>
      <c r="E468" s="458"/>
      <c r="F468" s="458"/>
      <c r="G468" s="135"/>
      <c r="H468" s="135"/>
    </row>
    <row r="469" spans="2:8" ht="19.5" hidden="1" customHeight="1">
      <c r="B469" s="135" t="str">
        <f>'Lang Drops'!D61</f>
        <v>carbon</v>
      </c>
      <c r="C469" s="464"/>
      <c r="D469" s="135"/>
      <c r="E469" s="458"/>
      <c r="F469" s="458"/>
      <c r="G469" s="135"/>
      <c r="H469" s="135"/>
    </row>
    <row r="470" spans="2:8" ht="19.5" hidden="1" customHeight="1">
      <c r="B470" s="135" t="str">
        <f>'Lang Drops'!E61</f>
        <v>GRP</v>
      </c>
      <c r="C470" s="464"/>
      <c r="D470" s="135"/>
      <c r="E470" s="458"/>
      <c r="F470" s="458"/>
      <c r="G470" s="135"/>
      <c r="H470" s="135"/>
    </row>
    <row r="471" spans="2:8" ht="19.5" hidden="1" customHeight="1">
      <c r="B471" s="135" t="str">
        <f>'Lang Drops'!F61</f>
        <v>hollow steel with or without comp. fairings</v>
      </c>
      <c r="C471" s="464"/>
      <c r="D471" s="135"/>
      <c r="E471" s="458"/>
      <c r="F471" s="458"/>
      <c r="G471" s="135"/>
      <c r="H471" s="135"/>
    </row>
    <row r="472" spans="2:8" ht="19.5" hidden="1" customHeight="1">
      <c r="B472" s="135" t="str">
        <f>'Lang Drops'!G61</f>
        <v>solid steel + composite fairings</v>
      </c>
      <c r="C472" s="464"/>
      <c r="D472" s="135"/>
      <c r="E472" s="458"/>
      <c r="F472" s="458"/>
      <c r="G472" s="135"/>
      <c r="H472" s="135"/>
    </row>
    <row r="473" spans="2:8" ht="19.5" hidden="1" customHeight="1">
      <c r="B473" s="135" t="str">
        <f>'Lang Drops'!H61</f>
        <v>lead + composite fairings</v>
      </c>
      <c r="C473" s="464"/>
      <c r="D473" s="135"/>
      <c r="E473" s="458"/>
      <c r="F473" s="458"/>
      <c r="G473" s="135"/>
      <c r="H473" s="135"/>
    </row>
    <row r="474" spans="2:8" ht="19.5" hidden="1" customHeight="1">
      <c r="B474" s="135" t="str">
        <f>'Lang Drops'!I61</f>
        <v>cast iron + composite fairings</v>
      </c>
      <c r="C474" s="464"/>
      <c r="D474" s="135"/>
      <c r="E474" s="458"/>
      <c r="F474" s="458"/>
      <c r="G474" s="135"/>
      <c r="H474" s="135"/>
    </row>
    <row r="475" spans="2:8" ht="19.5" hidden="1" customHeight="1">
      <c r="B475" s="135" t="str">
        <f>'Lang Drops'!J61</f>
        <v>cast iron + lead + composite fairings</v>
      </c>
      <c r="C475" s="120"/>
      <c r="D475" s="135"/>
      <c r="E475" s="458"/>
      <c r="F475" s="458"/>
      <c r="G475" s="135"/>
      <c r="H475" s="135"/>
    </row>
    <row r="476" spans="2:8" ht="19.5" hidden="1" customHeight="1">
      <c r="B476" s="135" t="str">
        <f>'Lang Drops'!K61</f>
        <v>solid steel (surface fairing only)</v>
      </c>
      <c r="C476" s="464"/>
      <c r="D476" s="135"/>
      <c r="E476" s="458"/>
      <c r="F476" s="458"/>
      <c r="G476" s="135"/>
      <c r="H476" s="135"/>
    </row>
    <row r="477" spans="2:8" ht="19.5" hidden="1" customHeight="1">
      <c r="B477" s="135" t="str">
        <f>'Lang Drops'!L61</f>
        <v>lead (surface fairing only)</v>
      </c>
      <c r="C477" s="464"/>
      <c r="D477" s="135"/>
      <c r="E477" s="458"/>
      <c r="F477" s="458"/>
      <c r="G477" s="135"/>
      <c r="H477" s="135"/>
    </row>
    <row r="478" spans="2:8" ht="19.5" hidden="1" customHeight="1">
      <c r="B478" s="135" t="str">
        <f>'Lang Drops'!M61</f>
        <v>cast iron (surface fairing only)</v>
      </c>
      <c r="C478" s="464"/>
      <c r="D478" s="135"/>
      <c r="E478" s="458"/>
      <c r="F478" s="458"/>
      <c r="G478" s="135"/>
      <c r="H478" s="135"/>
    </row>
    <row r="479" spans="2:8" ht="19.5" hidden="1" customHeight="1">
      <c r="B479" s="135" t="str">
        <f>'Lang Drops'!N61</f>
        <v>lead + cast iron (surface fairing only)</v>
      </c>
      <c r="C479" s="464"/>
      <c r="D479" s="135"/>
      <c r="E479" s="458"/>
      <c r="F479" s="458"/>
      <c r="G479" s="135"/>
      <c r="H479" s="135"/>
    </row>
    <row r="480" spans="2:8" ht="19.5" hidden="1" customHeight="1">
      <c r="B480" s="135" t="str">
        <f>'Lang Drops'!O61</f>
        <v>bronze</v>
      </c>
      <c r="C480" s="466"/>
      <c r="D480" s="118"/>
      <c r="E480" s="458"/>
      <c r="F480" s="458"/>
      <c r="G480" s="135"/>
      <c r="H480" s="135"/>
    </row>
    <row r="481" spans="2:8" ht="19.5" hidden="1" customHeight="1">
      <c r="B481" s="135" t="str">
        <f>'Lang Drops'!P61</f>
        <v>aluminium/alloy</v>
      </c>
      <c r="C481" s="119"/>
      <c r="D481" s="118"/>
      <c r="E481" s="458"/>
      <c r="F481" s="458"/>
      <c r="G481" s="135"/>
      <c r="H481" s="135"/>
    </row>
    <row r="482" spans="2:8" ht="19.5" hidden="1" customHeight="1">
      <c r="B482" s="135" t="str">
        <f>'Lang Drops'!Q61</f>
        <v>Other or various (please give details)</v>
      </c>
      <c r="C482" s="119"/>
      <c r="D482" s="118"/>
      <c r="E482" s="458"/>
      <c r="F482" s="458"/>
      <c r="G482" s="135"/>
      <c r="H482" s="135"/>
    </row>
    <row r="483" spans="2:8" ht="19.5" hidden="1" customHeight="1">
      <c r="B483" s="135"/>
      <c r="C483" s="464"/>
      <c r="D483" s="118"/>
      <c r="E483" s="458"/>
      <c r="F483" s="458"/>
      <c r="G483" s="135"/>
      <c r="H483" s="135"/>
    </row>
    <row r="484" spans="2:8" ht="19.5" hidden="1" customHeight="1">
      <c r="B484" s="135"/>
      <c r="C484" s="118"/>
      <c r="D484" s="118"/>
      <c r="E484" s="458"/>
      <c r="F484" s="458"/>
      <c r="G484" s="135"/>
      <c r="H484" s="135"/>
    </row>
    <row r="485" spans="2:8" ht="19.5" hidden="1" customHeight="1">
      <c r="B485" s="135" t="str">
        <f>'Lang Drops'!D1</f>
        <v>&lt;select from list&gt;</v>
      </c>
      <c r="C485" s="118"/>
      <c r="D485" s="118"/>
      <c r="E485" s="458"/>
      <c r="F485" s="458"/>
      <c r="G485" s="135"/>
      <c r="H485" s="135"/>
    </row>
    <row r="486" spans="2:8" ht="19.5" hidden="1" customHeight="1">
      <c r="B486" s="135" t="str">
        <f>'Lang Drops'!D71</f>
        <v>cast iron</v>
      </c>
      <c r="C486" s="118"/>
      <c r="D486" s="118"/>
      <c r="E486" s="458"/>
      <c r="F486" s="458"/>
      <c r="G486" s="135"/>
      <c r="H486" s="135"/>
    </row>
    <row r="487" spans="2:8" ht="19.5" hidden="1" customHeight="1">
      <c r="B487" s="135" t="str">
        <f>'Lang Drops'!E71</f>
        <v>lead</v>
      </c>
      <c r="C487" s="457"/>
      <c r="D487" s="135"/>
      <c r="E487" s="458"/>
      <c r="F487" s="458"/>
      <c r="G487" s="135"/>
      <c r="H487" s="135"/>
    </row>
    <row r="488" spans="2:8" ht="19.5" hidden="1" customHeight="1">
      <c r="B488" s="135" t="str">
        <f>'Lang Drops'!F71</f>
        <v>Other or various (please give details)</v>
      </c>
      <c r="C488" s="464"/>
      <c r="D488" s="135"/>
      <c r="E488" s="458"/>
      <c r="F488" s="458"/>
      <c r="G488" s="135"/>
      <c r="H488" s="135"/>
    </row>
    <row r="489" spans="2:8" ht="19.5" hidden="1" customHeight="1">
      <c r="B489" s="135" t="str">
        <f>'Lang Drops'!G71</f>
        <v>n/a (no bulb)</v>
      </c>
      <c r="C489" s="464"/>
      <c r="D489" s="135"/>
      <c r="E489" s="458"/>
      <c r="F489" s="458"/>
      <c r="G489" s="135"/>
      <c r="H489" s="135"/>
    </row>
    <row r="490" spans="2:8" ht="19.5" hidden="1" customHeight="1">
      <c r="B490" s="135" t="str">
        <f>'Lang Drops'!D1</f>
        <v>&lt;select from list&gt;</v>
      </c>
      <c r="C490" s="464"/>
      <c r="D490" s="135"/>
      <c r="E490" s="458"/>
      <c r="F490" s="458"/>
      <c r="G490" s="135"/>
      <c r="H490" s="135"/>
    </row>
    <row r="491" spans="2:8" ht="19.5" hidden="1" customHeight="1">
      <c r="B491" s="135" t="str">
        <f>'Lang Drops'!H71</f>
        <v>Traditional (solid wood, plywood, uncored GRP laminate, etc)</v>
      </c>
      <c r="C491" s="464"/>
      <c r="D491" s="135"/>
      <c r="E491" s="118"/>
      <c r="F491" s="458"/>
      <c r="G491" s="135"/>
      <c r="H491" s="135"/>
    </row>
    <row r="492" spans="2:8" ht="19.5" hidden="1" customHeight="1">
      <c r="B492" s="135" t="str">
        <f>'Lang Drops'!I71</f>
        <v>Light (thin and/or foam cored veneered and/or GRP laminate panels, etc)</v>
      </c>
      <c r="C492" s="464"/>
      <c r="D492" s="135"/>
      <c r="E492" s="458"/>
      <c r="F492" s="458"/>
      <c r="G492" s="135"/>
      <c r="H492" s="135"/>
    </row>
    <row r="493" spans="2:8" ht="19.5" hidden="1" customHeight="1">
      <c r="B493" s="135" t="str">
        <f>'Lang Drops'!J71</f>
        <v>Racing (carbon, nomex and other hi-tech materials)</v>
      </c>
      <c r="C493" s="464"/>
      <c r="D493" s="135"/>
      <c r="E493" s="118"/>
      <c r="F493" s="458"/>
      <c r="G493" s="135"/>
      <c r="H493" s="135"/>
    </row>
    <row r="494" spans="2:8" ht="19.5" hidden="1" customHeight="1">
      <c r="B494" s="135"/>
      <c r="C494" s="464"/>
      <c r="D494" s="135"/>
      <c r="E494" s="118"/>
      <c r="F494" s="458"/>
      <c r="G494" s="135"/>
      <c r="H494" s="135"/>
    </row>
    <row r="495" spans="2:8" ht="19.5" hidden="1" customHeight="1">
      <c r="B495" s="135" t="str">
        <f>'Lang Drops'!D1</f>
        <v>&lt;select from list&gt;</v>
      </c>
      <c r="C495" s="464"/>
      <c r="D495" s="135"/>
      <c r="E495" s="118"/>
      <c r="F495" s="458"/>
      <c r="G495" s="135"/>
      <c r="H495" s="135"/>
    </row>
    <row r="496" spans="2:8" ht="19.5" hidden="1" customHeight="1">
      <c r="B496" s="461" t="str">
        <f>'Lang Drops'!D81</f>
        <v>1 Traditional, attached rudder</v>
      </c>
      <c r="C496" s="464"/>
      <c r="D496" s="135"/>
      <c r="E496" s="118"/>
      <c r="F496" s="458"/>
      <c r="G496" s="135"/>
      <c r="H496" s="135"/>
    </row>
    <row r="497" spans="2:8" ht="19.5" hidden="1" customHeight="1">
      <c r="B497" s="461" t="str">
        <f>'Lang Drops'!E81</f>
        <v>2 Long keel with separate rudder</v>
      </c>
      <c r="C497" s="464"/>
      <c r="D497" s="135"/>
      <c r="E497" s="118"/>
      <c r="F497" s="458"/>
      <c r="G497" s="135"/>
      <c r="H497" s="135"/>
    </row>
    <row r="498" spans="2:8" ht="19.5" hidden="1" customHeight="1">
      <c r="B498" s="461" t="str">
        <f>'Lang Drops'!F81</f>
        <v>3 mickey mouse</v>
      </c>
      <c r="C498" s="464"/>
      <c r="D498" s="135"/>
      <c r="E498" s="458"/>
      <c r="F498" s="458"/>
      <c r="G498" s="135"/>
      <c r="H498" s="135"/>
    </row>
    <row r="499" spans="2:8" ht="19.5" hidden="1" customHeight="1">
      <c r="B499" s="461" t="str">
        <f>'Lang Drops'!G81</f>
        <v>4 tapered fin</v>
      </c>
      <c r="C499" s="464"/>
      <c r="D499" s="135"/>
      <c r="E499" s="458"/>
      <c r="F499" s="458"/>
      <c r="G499" s="135"/>
      <c r="H499" s="135"/>
    </row>
    <row r="500" spans="2:8" ht="19.5" hidden="1" customHeight="1">
      <c r="B500" s="461" t="str">
        <f>'Lang Drops'!H81</f>
        <v>5 straight fin</v>
      </c>
      <c r="C500" s="120"/>
      <c r="D500" s="135"/>
      <c r="E500" s="458"/>
      <c r="F500" s="458"/>
      <c r="G500" s="135"/>
      <c r="H500" s="135"/>
    </row>
    <row r="501" spans="2:8" ht="19.5" hidden="1" customHeight="1">
      <c r="B501" s="461" t="str">
        <f>'Lang Drops'!I81</f>
        <v>6 straight deep fin</v>
      </c>
      <c r="C501" s="464"/>
      <c r="D501" s="135"/>
      <c r="E501" s="458"/>
      <c r="F501" s="458"/>
      <c r="G501" s="135"/>
      <c r="H501" s="135"/>
    </row>
    <row r="502" spans="2:8" ht="19.5" hidden="1" customHeight="1">
      <c r="B502" s="461" t="str">
        <f>'Lang Drops'!J81</f>
        <v>7 flare low cg</v>
      </c>
      <c r="C502" s="464"/>
      <c r="D502" s="135"/>
      <c r="E502" s="458"/>
      <c r="F502" s="458"/>
      <c r="G502" s="135"/>
      <c r="H502" s="135"/>
    </row>
    <row r="503" spans="2:8" ht="19.5" hidden="1" customHeight="1">
      <c r="B503" s="461" t="str">
        <f>'Lang Drops'!K81</f>
        <v>8 flare low cg, deep fin</v>
      </c>
      <c r="C503" s="464"/>
      <c r="D503" s="135"/>
      <c r="E503" s="458"/>
      <c r="F503" s="458"/>
      <c r="G503" s="135"/>
      <c r="H503" s="135"/>
    </row>
    <row r="504" spans="2:8" ht="19.5" hidden="1" customHeight="1">
      <c r="B504" s="461" t="str">
        <f>'Lang Drops'!L81</f>
        <v>9 'L' bulb/low cg</v>
      </c>
      <c r="C504" s="464"/>
      <c r="D504" s="135"/>
      <c r="E504" s="458"/>
      <c r="F504" s="458"/>
      <c r="G504" s="135"/>
      <c r="H504" s="135"/>
    </row>
    <row r="505" spans="2:8" ht="19.5" hidden="1" customHeight="1">
      <c r="B505" s="461" t="str">
        <f>'Lang Drops'!M81</f>
        <v>10 'T' bulb</v>
      </c>
      <c r="C505" s="464"/>
      <c r="D505" s="135"/>
      <c r="E505" s="458"/>
      <c r="F505" s="458"/>
      <c r="G505" s="135"/>
      <c r="H505" s="135"/>
    </row>
    <row r="506" spans="2:8" ht="19.5" hidden="1" customHeight="1">
      <c r="B506" s="135" t="str">
        <f>'Lang Drops'!N81</f>
        <v>11 'L' bulb, deep fin</v>
      </c>
      <c r="C506" s="464"/>
      <c r="D506" s="135"/>
      <c r="E506" s="458"/>
      <c r="F506" s="458"/>
      <c r="G506" s="135"/>
      <c r="H506" s="135"/>
    </row>
    <row r="507" spans="2:8" ht="19.5" hidden="1" customHeight="1">
      <c r="B507" s="461" t="str">
        <f>'Lang Drops'!O81</f>
        <v>12 deep bulb + winglets</v>
      </c>
      <c r="C507" s="464"/>
      <c r="D507" s="135"/>
      <c r="E507" s="458"/>
      <c r="F507" s="458"/>
      <c r="G507" s="135"/>
      <c r="H507" s="135"/>
    </row>
    <row r="508" spans="2:8" ht="19.5" hidden="1" customHeight="1">
      <c r="B508" s="461" t="str">
        <f>'Lang Drops'!P81</f>
        <v>13 wing</v>
      </c>
      <c r="C508" s="464"/>
      <c r="D508" s="135"/>
      <c r="E508" s="458"/>
      <c r="F508" s="458"/>
      <c r="G508" s="135"/>
      <c r="H508" s="135"/>
    </row>
    <row r="509" spans="2:8" ht="19.5" hidden="1" customHeight="1">
      <c r="B509" s="135" t="str">
        <f>'Lang Drops'!Q81</f>
        <v>14 Other (supply pictures)</v>
      </c>
      <c r="C509" s="464"/>
      <c r="D509" s="135"/>
      <c r="E509" s="458"/>
      <c r="F509" s="458"/>
      <c r="G509" s="135"/>
      <c r="H509" s="135"/>
    </row>
    <row r="510" spans="2:8" ht="19.5" hidden="1" customHeight="1">
      <c r="B510" s="135"/>
      <c r="C510" s="464"/>
      <c r="D510" s="135"/>
      <c r="E510" s="458"/>
      <c r="F510" s="458"/>
      <c r="G510" s="135"/>
      <c r="H510" s="135"/>
    </row>
    <row r="511" spans="2:8" ht="19.5" hidden="1" customHeight="1">
      <c r="B511" s="135"/>
      <c r="C511" s="464"/>
      <c r="D511" s="135"/>
      <c r="E511" s="458"/>
      <c r="F511" s="458"/>
      <c r="G511" s="135"/>
      <c r="H511" s="135"/>
    </row>
    <row r="512" spans="2:8" ht="19.5" hidden="1" customHeight="1">
      <c r="B512" s="118" t="str">
        <f>'Lang Drops'!D1</f>
        <v>&lt;select from list&gt;</v>
      </c>
      <c r="C512" s="464"/>
      <c r="D512" s="135"/>
      <c r="E512" s="458"/>
      <c r="F512" s="458"/>
      <c r="G512" s="135"/>
      <c r="H512" s="135"/>
    </row>
    <row r="513" spans="2:8" ht="19.5" hidden="1" customHeight="1">
      <c r="B513" s="118" t="str">
        <f>'Lang Drops'!G91</f>
        <v>コンポジット（カーボン、PBOなど）</v>
      </c>
      <c r="C513" s="464"/>
      <c r="D513" s="135"/>
      <c r="E513" s="458"/>
      <c r="F513" s="458"/>
      <c r="G513" s="135"/>
      <c r="H513" s="135"/>
    </row>
    <row r="514" spans="2:8" ht="19.5" hidden="1" customHeight="1">
      <c r="B514" s="118" t="str">
        <f>'Lang Drops'!H91</f>
        <v>フォアステイのみコンポジット、他はロッド</v>
      </c>
      <c r="C514" s="464"/>
      <c r="D514" s="135"/>
      <c r="E514" s="458"/>
      <c r="F514" s="458"/>
      <c r="G514" s="135"/>
      <c r="H514" s="135"/>
    </row>
    <row r="515" spans="2:8" ht="19.5" hidden="1" customHeight="1">
      <c r="B515" s="118" t="str">
        <f>'Lang Drops'!I91</f>
        <v>ロッドのみ</v>
      </c>
      <c r="C515" s="464"/>
      <c r="D515" s="135"/>
      <c r="E515" s="458"/>
      <c r="F515" s="458"/>
      <c r="G515" s="135"/>
      <c r="H515" s="135"/>
    </row>
    <row r="516" spans="2:8" ht="19.5" hidden="1" customHeight="1">
      <c r="B516" s="118" t="str">
        <f>'Lang Drops'!J91</f>
        <v>ワイヤー</v>
      </c>
      <c r="C516" s="464"/>
      <c r="D516" s="135"/>
      <c r="E516" s="458"/>
      <c r="F516" s="458"/>
      <c r="G516" s="135"/>
      <c r="H516" s="135"/>
    </row>
    <row r="517" spans="2:8" ht="19.5" hidden="1" customHeight="1">
      <c r="B517" s="118" t="str">
        <f>'Lang Drops'!K91</f>
        <v>フォアステイのみロッド、他はワイヤー</v>
      </c>
      <c r="C517" s="120"/>
      <c r="D517" s="135"/>
      <c r="E517" s="458"/>
      <c r="F517" s="458"/>
      <c r="G517" s="135"/>
      <c r="H517" s="135"/>
    </row>
    <row r="518" spans="2:8" ht="19.5" hidden="1" customHeight="1">
      <c r="B518" s="118" t="str">
        <f>'Lang Drops'!L91</f>
        <v xml:space="preserve">フォアステイのみコンポジット、他はワイヤー </v>
      </c>
      <c r="C518" s="120"/>
      <c r="D518" s="135"/>
      <c r="E518" s="458"/>
      <c r="F518" s="458"/>
      <c r="G518" s="135"/>
      <c r="H518" s="135"/>
    </row>
    <row r="519" spans="2:8" ht="19.5" hidden="1" customHeight="1">
      <c r="B519" s="118" t="str">
        <f>'Lang Drops'!M91</f>
        <v>Other or various (please give details)</v>
      </c>
      <c r="C519" s="120"/>
      <c r="D519" s="135"/>
      <c r="E519" s="458"/>
      <c r="F519" s="458"/>
      <c r="G519" s="135"/>
      <c r="H519" s="135"/>
    </row>
    <row r="520" spans="2:8" ht="19.5" hidden="1" customHeight="1">
      <c r="B520" s="118"/>
      <c r="C520" s="464"/>
      <c r="D520" s="135"/>
      <c r="E520" s="458"/>
      <c r="F520" s="458"/>
      <c r="G520" s="135"/>
      <c r="H520" s="135"/>
    </row>
    <row r="521" spans="2:8" ht="19.5" hidden="1" customHeight="1">
      <c r="B521" s="118" t="str">
        <f>'Lang Drops'!D101</f>
        <v>&lt;select from list&gt;</v>
      </c>
      <c r="C521" s="464"/>
      <c r="D521" s="135"/>
      <c r="E521" s="458"/>
      <c r="F521" s="458"/>
      <c r="G521" s="135"/>
      <c r="H521" s="135"/>
    </row>
    <row r="522" spans="2:8" ht="19.5" hidden="1" customHeight="1">
      <c r="B522" s="135" t="str">
        <f>'Lang Drops'!E101</f>
        <v>No</v>
      </c>
      <c r="C522" s="464"/>
      <c r="D522" s="135"/>
      <c r="E522" s="458"/>
      <c r="F522" s="458"/>
      <c r="G522" s="135"/>
      <c r="H522" s="135"/>
    </row>
    <row r="523" spans="2:8" ht="19.5" hidden="1" customHeight="1">
      <c r="B523" s="135" t="str">
        <f>'Lang Drops'!F101</f>
        <v>Yes: Aft rigging ONLY</v>
      </c>
      <c r="C523" s="464"/>
      <c r="D523" s="135"/>
      <c r="E523" s="458"/>
      <c r="F523" s="458"/>
      <c r="G523" s="135"/>
      <c r="H523" s="135"/>
    </row>
    <row r="524" spans="2:8" ht="19.5" hidden="1" customHeight="1">
      <c r="B524" s="135" t="str">
        <f>'Lang Drops'!G101</f>
        <v>Yes: Running rigging</v>
      </c>
      <c r="C524" s="464"/>
      <c r="D524" s="135"/>
      <c r="E524" s="458"/>
      <c r="F524" s="458"/>
      <c r="G524" s="135"/>
      <c r="H524" s="135"/>
    </row>
    <row r="525" spans="2:8" ht="19.5" hidden="1" customHeight="1">
      <c r="B525" s="135"/>
      <c r="C525" s="464"/>
      <c r="D525" s="135"/>
      <c r="E525" s="458"/>
      <c r="F525" s="458"/>
      <c r="G525" s="135"/>
      <c r="H525" s="135"/>
    </row>
    <row r="526" spans="2:8" ht="19.5" hidden="1" customHeight="1">
      <c r="B526" s="135" t="str">
        <f>'Lang Pay'!L25</f>
        <v>IRC証書の失効日は</v>
      </c>
      <c r="C526" s="464"/>
      <c r="D526" s="135"/>
      <c r="E526" s="458"/>
      <c r="F526" s="458"/>
      <c r="G526" s="135"/>
      <c r="H526" s="135"/>
    </row>
    <row r="527" spans="2:8" ht="19.5" hidden="1" customHeight="1">
      <c r="B527" s="135"/>
      <c r="C527" s="464"/>
      <c r="D527" s="135"/>
      <c r="E527" s="458"/>
      <c r="F527" s="458"/>
      <c r="G527" s="135"/>
      <c r="H527" s="135"/>
    </row>
    <row r="528" spans="2:8" ht="19.5" hidden="1" customHeight="1">
      <c r="B528" s="135" t="str">
        <f>'Lang Drops'!H101</f>
        <v>&lt;select&gt;</v>
      </c>
      <c r="C528" s="464"/>
      <c r="D528" s="135"/>
      <c r="E528" s="458"/>
      <c r="F528" s="458"/>
      <c r="G528" s="135"/>
      <c r="H528" s="135"/>
    </row>
    <row r="529" spans="2:8" ht="19.5" hidden="1" customHeight="1">
      <c r="B529" s="135" t="str">
        <f>'Lang Drops'!I101</f>
        <v>Yes</v>
      </c>
      <c r="C529" s="464"/>
      <c r="D529" s="135"/>
      <c r="E529" s="135" t="str">
        <f>'Lang Drops'!H101</f>
        <v>&lt;select&gt;</v>
      </c>
      <c r="F529" s="458"/>
      <c r="G529" s="135"/>
      <c r="H529" s="135"/>
    </row>
    <row r="530" spans="2:8" ht="19.5" hidden="1" customHeight="1">
      <c r="B530" s="135" t="str">
        <f>'Lang Drops'!J101</f>
        <v>No</v>
      </c>
      <c r="C530" s="464"/>
      <c r="D530" s="135"/>
      <c r="E530" s="135" t="str">
        <f>'Lang Drops'!J101</f>
        <v>No</v>
      </c>
      <c r="F530" s="458"/>
      <c r="G530" s="135"/>
      <c r="H530" s="135"/>
    </row>
    <row r="531" spans="2:8" ht="19.5" hidden="1" customHeight="1">
      <c r="B531" s="135"/>
      <c r="C531" s="464"/>
      <c r="D531" s="135"/>
      <c r="E531" s="135" t="str">
        <f>'Lang Drops'!I101</f>
        <v>Yes</v>
      </c>
      <c r="F531" s="458"/>
      <c r="G531" s="135"/>
      <c r="H531" s="135"/>
    </row>
    <row r="532" spans="2:8" ht="19.5" hidden="1" customHeight="1">
      <c r="B532" s="135" t="str">
        <f>'Lang Drops'!D112</f>
        <v>&lt;select from list&gt;</v>
      </c>
      <c r="C532" s="464"/>
      <c r="D532" s="135"/>
      <c r="E532" s="458"/>
      <c r="F532" s="458"/>
      <c r="G532" s="135"/>
      <c r="H532" s="135"/>
    </row>
    <row r="533" spans="2:8" ht="19.5" hidden="1" customHeight="1">
      <c r="B533" s="135" t="str">
        <f>'Lang Drops'!E112</f>
        <v>No</v>
      </c>
      <c r="C533" s="135" t="str">
        <f>'Lang Drops'!H112</f>
        <v>Bow thruster</v>
      </c>
      <c r="D533" s="135"/>
      <c r="E533" s="458"/>
      <c r="F533" s="458"/>
      <c r="G533" s="135"/>
      <c r="H533" s="135"/>
    </row>
    <row r="534" spans="2:8" ht="19.5" hidden="1" customHeight="1">
      <c r="B534" s="135" t="str">
        <f>'Lang Drops'!F112</f>
        <v>Yes, retractable</v>
      </c>
      <c r="C534" s="464"/>
      <c r="D534" s="135"/>
      <c r="E534" s="458"/>
      <c r="F534" s="458"/>
      <c r="G534" s="135"/>
      <c r="H534" s="135"/>
    </row>
    <row r="535" spans="2:8" ht="19.5" hidden="1" customHeight="1">
      <c r="B535" s="135" t="str">
        <f>'Lang Drops'!G112</f>
        <v>Yes, in an open tunnel</v>
      </c>
      <c r="C535" s="464"/>
      <c r="D535" s="135"/>
      <c r="E535" s="458"/>
      <c r="F535" s="458"/>
      <c r="G535" s="135"/>
      <c r="H535" s="135"/>
    </row>
    <row r="536" spans="2:8" ht="19.5" hidden="1" customHeight="1">
      <c r="B536" s="135"/>
      <c r="C536" s="464"/>
      <c r="D536" s="135"/>
      <c r="E536" s="458"/>
      <c r="F536" s="458"/>
      <c r="G536" s="135"/>
      <c r="H536" s="135"/>
    </row>
    <row r="537" spans="2:8" ht="19.5" hidden="1" customHeight="1">
      <c r="C537" s="464"/>
      <c r="D537" s="135"/>
      <c r="E537" s="458"/>
      <c r="H537" s="135"/>
    </row>
    <row r="538" spans="2:8" ht="19.5" hidden="1" customHeight="1">
      <c r="B538" s="461" t="str">
        <f>'Lang Drops'!D112</f>
        <v>&lt;select from list&gt;</v>
      </c>
      <c r="H538" s="135"/>
    </row>
    <row r="539" spans="2:8" ht="19.5" hidden="1" customHeight="1">
      <c r="B539" s="461">
        <v>1</v>
      </c>
      <c r="H539" s="135"/>
    </row>
    <row r="540" spans="2:8" ht="19.5" hidden="1" customHeight="1">
      <c r="B540" s="461">
        <v>2</v>
      </c>
      <c r="H540" s="135"/>
    </row>
    <row r="541" spans="2:8" ht="19.5" hidden="1" customHeight="1">
      <c r="B541" s="461">
        <v>3</v>
      </c>
      <c r="H541" s="135"/>
    </row>
    <row r="542" spans="2:8" ht="19.5" hidden="1" customHeight="1">
      <c r="B542" s="461">
        <v>4</v>
      </c>
      <c r="H542" s="135"/>
    </row>
    <row r="543" spans="2:8" ht="19.5" hidden="1" customHeight="1">
      <c r="B543" s="461">
        <v>5</v>
      </c>
      <c r="H543" s="135"/>
    </row>
    <row r="544" spans="2:8" ht="19.5" hidden="1" customHeight="1">
      <c r="B544" s="135" t="s">
        <v>114</v>
      </c>
      <c r="H544" s="135"/>
    </row>
    <row r="545" spans="1:10" s="304" customFormat="1" ht="19.5" hidden="1" customHeight="1">
      <c r="A545" s="406"/>
      <c r="B545" s="135" t="s">
        <v>4693</v>
      </c>
      <c r="C545" s="17"/>
      <c r="D545" s="17"/>
      <c r="E545" s="17"/>
      <c r="J545" s="305"/>
    </row>
    <row r="546" spans="1:10" s="304" customFormat="1" ht="19.5" hidden="1" customHeight="1">
      <c r="A546" s="406"/>
      <c r="B546" s="304" t="str">
        <f>'Lang Drops'!D112</f>
        <v>&lt;select from list&gt;</v>
      </c>
      <c r="C546" s="135" t="s">
        <v>4694</v>
      </c>
      <c r="J546" s="305"/>
    </row>
    <row r="547" spans="1:10" s="304" customFormat="1" ht="19.5" hidden="1" customHeight="1">
      <c r="A547" s="406"/>
      <c r="B547" s="304" t="str">
        <f>'Lang Drops'!J101</f>
        <v>No</v>
      </c>
      <c r="C547" s="304" t="str">
        <f>'Lang Drops'!D112</f>
        <v>&lt;select from list&gt;</v>
      </c>
      <c r="J547" s="305"/>
    </row>
    <row r="548" spans="1:10" s="304" customFormat="1" ht="19.5" hidden="1" customHeight="1">
      <c r="A548" s="406"/>
      <c r="B548" s="304" t="str">
        <f>'Lang Drops'!I101</f>
        <v>Yes</v>
      </c>
      <c r="C548" s="304" t="str">
        <f>'Lang Drops'!J101</f>
        <v>No</v>
      </c>
      <c r="J548" s="305"/>
    </row>
    <row r="549" spans="1:10" s="304" customFormat="1" ht="19.5" hidden="1" customHeight="1">
      <c r="A549" s="406"/>
      <c r="C549" s="304" t="str">
        <f>'Lang Drops'!L101</f>
        <v>はい、しかしレース中は使用しない</v>
      </c>
      <c r="J549" s="305"/>
    </row>
    <row r="550" spans="1:10" s="304" customFormat="1" ht="19.5" hidden="1" customHeight="1">
      <c r="A550" s="406"/>
      <c r="C550" s="304" t="str">
        <f>'Lang Drops'!K101</f>
        <v>はい、レース中使用</v>
      </c>
      <c r="J550" s="305"/>
    </row>
    <row r="551" spans="1:10" ht="19.5" hidden="1" customHeight="1">
      <c r="C551" s="304"/>
      <c r="D551" s="304"/>
      <c r="E551" s="304"/>
      <c r="H551" s="135"/>
    </row>
    <row r="552" spans="1:10" ht="19.5" hidden="1" customHeight="1">
      <c r="B552" s="461">
        <v>0</v>
      </c>
      <c r="H552" s="135"/>
    </row>
    <row r="553" spans="1:10" ht="19.5" hidden="1" customHeight="1">
      <c r="B553" s="461">
        <v>1</v>
      </c>
      <c r="H553" s="135"/>
    </row>
    <row r="554" spans="1:10" ht="19.5" hidden="1" customHeight="1">
      <c r="B554" s="461">
        <v>2</v>
      </c>
      <c r="H554" s="135"/>
    </row>
    <row r="555" spans="1:10" ht="19.5" hidden="1" customHeight="1">
      <c r="B555" s="461">
        <v>3</v>
      </c>
      <c r="H555" s="135"/>
    </row>
    <row r="556" spans="1:10" ht="19.5" hidden="1" customHeight="1">
      <c r="B556" s="461">
        <v>4</v>
      </c>
      <c r="H556" s="135"/>
    </row>
    <row r="557" spans="1:10" ht="19.5" hidden="1" customHeight="1">
      <c r="B557" s="461">
        <v>5</v>
      </c>
      <c r="H557" s="135"/>
    </row>
    <row r="558" spans="1:10" ht="19.5" hidden="1" customHeight="1">
      <c r="B558" s="461">
        <v>6</v>
      </c>
      <c r="H558" s="135"/>
    </row>
    <row r="559" spans="1:10" s="528" customFormat="1" ht="19.5" hidden="1" customHeight="1">
      <c r="A559" s="527"/>
      <c r="B559" s="528" t="str">
        <f>'Lang Drops'!H101</f>
        <v>&lt;select&gt;</v>
      </c>
      <c r="C559" s="17"/>
      <c r="D559" s="17"/>
      <c r="E559" s="17"/>
      <c r="J559" s="529"/>
    </row>
    <row r="560" spans="1:10" s="528" customFormat="1" ht="19.5" hidden="1" customHeight="1">
      <c r="A560" s="527"/>
      <c r="B560" s="528" t="str">
        <f>'Lang Drops'!I112</f>
        <v>同意する</v>
      </c>
      <c r="J560" s="529"/>
    </row>
    <row r="561" spans="3:8" ht="19.5" hidden="1" customHeight="1">
      <c r="C561" s="528"/>
      <c r="D561" s="528"/>
      <c r="E561" s="528"/>
      <c r="H561" s="135"/>
    </row>
    <row r="562" spans="3:8" ht="19.5" customHeight="1">
      <c r="H562" s="135"/>
    </row>
    <row r="563" spans="3:8" ht="19.5" customHeight="1">
      <c r="H563" s="135"/>
    </row>
    <row r="564" spans="3:8" ht="19.5" customHeight="1">
      <c r="H564" s="135"/>
    </row>
    <row r="565" spans="3:8" ht="19.5" customHeight="1">
      <c r="H565" s="135"/>
    </row>
    <row r="566" spans="3:8" ht="19.5" customHeight="1">
      <c r="H566" s="135"/>
    </row>
    <row r="567" spans="3:8" ht="19.5" customHeight="1">
      <c r="H567" s="135"/>
    </row>
    <row r="568" spans="3:8" ht="19.5" customHeight="1">
      <c r="H568" s="135"/>
    </row>
    <row r="569" spans="3:8" ht="19.5" customHeight="1">
      <c r="H569" s="135"/>
    </row>
    <row r="570" spans="3:8" ht="19.5" customHeight="1">
      <c r="H570" s="135"/>
    </row>
    <row r="571" spans="3:8" ht="19.5" customHeight="1">
      <c r="H571" s="135"/>
    </row>
    <row r="572" spans="3:8" ht="19.5" customHeight="1">
      <c r="H572" s="135"/>
    </row>
    <row r="573" spans="3:8" ht="19.5" customHeight="1">
      <c r="H573" s="135"/>
    </row>
    <row r="574" spans="3:8" ht="19.5" customHeight="1">
      <c r="H574" s="135"/>
    </row>
    <row r="575" spans="3:8" ht="19.5" customHeight="1">
      <c r="H575" s="135"/>
    </row>
    <row r="576" spans="3:8" ht="19.5" customHeight="1">
      <c r="H576" s="135"/>
    </row>
    <row r="577" spans="8:8" ht="19.5" customHeight="1">
      <c r="H577" s="135"/>
    </row>
    <row r="578" spans="8:8" ht="19.5" customHeight="1">
      <c r="H578" s="135"/>
    </row>
    <row r="579" spans="8:8" ht="19.5" customHeight="1">
      <c r="H579" s="135"/>
    </row>
    <row r="580" spans="8:8" ht="19.5" customHeight="1">
      <c r="H580" s="135"/>
    </row>
    <row r="581" spans="8:8" ht="19.5" customHeight="1">
      <c r="H581" s="135"/>
    </row>
    <row r="582" spans="8:8" ht="19.5" customHeight="1">
      <c r="H582" s="135"/>
    </row>
    <row r="583" spans="8:8" ht="19.5" customHeight="1">
      <c r="H583" s="135"/>
    </row>
    <row r="584" spans="8:8" ht="19.5" customHeight="1">
      <c r="H584" s="135"/>
    </row>
    <row r="585" spans="8:8" ht="19.5" customHeight="1">
      <c r="H585" s="135"/>
    </row>
    <row r="586" spans="8:8" ht="19.5" customHeight="1">
      <c r="H586" s="135"/>
    </row>
    <row r="587" spans="8:8" ht="19.5" customHeight="1">
      <c r="H587" s="135"/>
    </row>
    <row r="588" spans="8:8" ht="19.5" customHeight="1">
      <c r="H588" s="135"/>
    </row>
    <row r="589" spans="8:8" ht="19.5" customHeight="1">
      <c r="H589" s="135"/>
    </row>
    <row r="590" spans="8:8" ht="19.5" customHeight="1">
      <c r="H590" s="135"/>
    </row>
    <row r="591" spans="8:8" ht="19.5" customHeight="1">
      <c r="H591" s="135"/>
    </row>
    <row r="592" spans="8:8" ht="19.5" customHeight="1">
      <c r="H592" s="135"/>
    </row>
    <row r="593" spans="8:8" ht="19.5" customHeight="1">
      <c r="H593" s="135"/>
    </row>
    <row r="594" spans="8:8" ht="19.5" customHeight="1">
      <c r="H594" s="135"/>
    </row>
    <row r="595" spans="8:8" ht="19.5" customHeight="1">
      <c r="H595" s="135"/>
    </row>
    <row r="596" spans="8:8" ht="19.5" customHeight="1">
      <c r="H596" s="135"/>
    </row>
    <row r="597" spans="8:8" ht="19.5" customHeight="1">
      <c r="H597" s="135"/>
    </row>
    <row r="598" spans="8:8" ht="19.5" customHeight="1">
      <c r="H598" s="135"/>
    </row>
    <row r="599" spans="8:8" ht="19.5" customHeight="1">
      <c r="H599" s="135"/>
    </row>
    <row r="600" spans="8:8" ht="19.5" customHeight="1">
      <c r="H600" s="135"/>
    </row>
    <row r="601" spans="8:8" ht="19.5" customHeight="1">
      <c r="H601" s="135"/>
    </row>
    <row r="602" spans="8:8" ht="19.5" customHeight="1">
      <c r="H602" s="135"/>
    </row>
    <row r="603" spans="8:8" ht="19.5" customHeight="1">
      <c r="H603" s="135"/>
    </row>
    <row r="604" spans="8:8" ht="19.5" customHeight="1">
      <c r="H604" s="135"/>
    </row>
    <row r="605" spans="8:8" ht="19.5" customHeight="1">
      <c r="H605" s="135"/>
    </row>
    <row r="606" spans="8:8" ht="19.5" customHeight="1">
      <c r="H606" s="135"/>
    </row>
    <row r="607" spans="8:8" ht="19.5" customHeight="1">
      <c r="H607" s="135"/>
    </row>
    <row r="608" spans="8:8" ht="19.5" customHeight="1">
      <c r="H608" s="135"/>
    </row>
    <row r="609" spans="8:8" ht="19.5" customHeight="1">
      <c r="H609" s="135"/>
    </row>
    <row r="610" spans="8:8" ht="19.5" customHeight="1">
      <c r="H610" s="135"/>
    </row>
    <row r="611" spans="8:8" ht="19.5" customHeight="1">
      <c r="H611" s="135"/>
    </row>
    <row r="612" spans="8:8" ht="19.5" customHeight="1">
      <c r="H612" s="135"/>
    </row>
    <row r="613" spans="8:8" ht="19.5" customHeight="1">
      <c r="H613" s="135"/>
    </row>
    <row r="614" spans="8:8" ht="19.5" customHeight="1">
      <c r="H614" s="135"/>
    </row>
    <row r="615" spans="8:8" ht="19.5" customHeight="1">
      <c r="H615" s="135"/>
    </row>
    <row r="616" spans="8:8" ht="19.5" customHeight="1">
      <c r="H616" s="135"/>
    </row>
    <row r="617" spans="8:8" ht="19.5" customHeight="1">
      <c r="H617" s="135"/>
    </row>
    <row r="618" spans="8:8" ht="19.5" customHeight="1">
      <c r="H618" s="135"/>
    </row>
    <row r="619" spans="8:8" ht="19.5" customHeight="1">
      <c r="H619" s="135"/>
    </row>
    <row r="620" spans="8:8" ht="19.5" customHeight="1">
      <c r="H620" s="135"/>
    </row>
    <row r="621" spans="8:8" ht="19.5" customHeight="1">
      <c r="H621" s="135"/>
    </row>
    <row r="622" spans="8:8" ht="19.5" customHeight="1">
      <c r="H622" s="135"/>
    </row>
    <row r="623" spans="8:8" ht="19.5" customHeight="1">
      <c r="H623" s="135"/>
    </row>
    <row r="624" spans="8:8" ht="19.5" customHeight="1">
      <c r="H624" s="135"/>
    </row>
    <row r="625" spans="8:8" ht="19.5" customHeight="1">
      <c r="H625" s="135"/>
    </row>
    <row r="626" spans="8:8" ht="19.5" customHeight="1">
      <c r="H626" s="135"/>
    </row>
    <row r="627" spans="8:8" ht="19.5" customHeight="1">
      <c r="H627" s="135"/>
    </row>
    <row r="628" spans="8:8" ht="19.5" customHeight="1">
      <c r="H628" s="135"/>
    </row>
    <row r="629" spans="8:8" ht="19.5" customHeight="1">
      <c r="H629" s="135"/>
    </row>
    <row r="630" spans="8:8" ht="19.5" customHeight="1">
      <c r="H630" s="135"/>
    </row>
    <row r="631" spans="8:8" ht="19.5" customHeight="1">
      <c r="H631" s="135"/>
    </row>
    <row r="632" spans="8:8" ht="19.5" customHeight="1">
      <c r="H632" s="135"/>
    </row>
    <row r="633" spans="8:8" ht="19.5" customHeight="1">
      <c r="H633" s="135"/>
    </row>
    <row r="634" spans="8:8" ht="19.5" customHeight="1">
      <c r="H634" s="135"/>
    </row>
    <row r="635" spans="8:8" ht="19.5" customHeight="1">
      <c r="H635" s="135"/>
    </row>
    <row r="636" spans="8:8" ht="19.5" customHeight="1">
      <c r="H636" s="135"/>
    </row>
    <row r="637" spans="8:8" ht="19.5" customHeight="1">
      <c r="H637" s="135"/>
    </row>
  </sheetData>
  <sheetProtection algorithmName="SHA-512" hashValue="wxjy05dejvyAdMRspP4g44tk617RjsPy0HSKFRusbrHlI0FLmjOoTSXWszp9WS+oBNCtKWxatg7+PP3dMzjR1w==" saltValue="FhnrMXRo4ZFViTE2XIj+lg==" spinCount="100000" sheet="1" selectLockedCells="1"/>
  <mergeCells count="217">
    <mergeCell ref="B204:C204"/>
    <mergeCell ref="C89:E89"/>
    <mergeCell ref="D180:E180"/>
    <mergeCell ref="B205:C205"/>
    <mergeCell ref="B186:G186"/>
    <mergeCell ref="H151:H152"/>
    <mergeCell ref="B187:G189"/>
    <mergeCell ref="E141:F141"/>
    <mergeCell ref="F157:G157"/>
    <mergeCell ref="C181:G181"/>
    <mergeCell ref="F178:G178"/>
    <mergeCell ref="B106:G106"/>
    <mergeCell ref="B157:E157"/>
    <mergeCell ref="E203:F203"/>
    <mergeCell ref="E205:F205"/>
    <mergeCell ref="E94:F95"/>
    <mergeCell ref="C108:E108"/>
    <mergeCell ref="C117:E117"/>
    <mergeCell ref="C126:E126"/>
    <mergeCell ref="C129:E129"/>
    <mergeCell ref="B160:C160"/>
    <mergeCell ref="G140:G141"/>
    <mergeCell ref="H144:H145"/>
    <mergeCell ref="H140:K140"/>
    <mergeCell ref="A35:A41"/>
    <mergeCell ref="B23:G23"/>
    <mergeCell ref="B25:G25"/>
    <mergeCell ref="C37:E37"/>
    <mergeCell ref="C38:E38"/>
    <mergeCell ref="B33:G34"/>
    <mergeCell ref="B29:E29"/>
    <mergeCell ref="F37:H37"/>
    <mergeCell ref="F47:G47"/>
    <mergeCell ref="C36:F36"/>
    <mergeCell ref="B43:G43"/>
    <mergeCell ref="B44:G44"/>
    <mergeCell ref="C45:E45"/>
    <mergeCell ref="C39:G39"/>
    <mergeCell ref="F46:G46"/>
    <mergeCell ref="J33:O34"/>
    <mergeCell ref="H26:K26"/>
    <mergeCell ref="B30:F31"/>
    <mergeCell ref="C143:E143"/>
    <mergeCell ref="C150:E150"/>
    <mergeCell ref="C172:G172"/>
    <mergeCell ref="C95:D95"/>
    <mergeCell ref="B169:D169"/>
    <mergeCell ref="B140:C140"/>
    <mergeCell ref="E140:F140"/>
    <mergeCell ref="B105:H105"/>
    <mergeCell ref="B103:G103"/>
    <mergeCell ref="C104:G104"/>
    <mergeCell ref="E127:F127"/>
    <mergeCell ref="B60:B61"/>
    <mergeCell ref="F62:G62"/>
    <mergeCell ref="C88:E88"/>
    <mergeCell ref="F60:G60"/>
    <mergeCell ref="G70:H70"/>
    <mergeCell ref="G71:H71"/>
    <mergeCell ref="B86:G87"/>
    <mergeCell ref="B93:G93"/>
    <mergeCell ref="F51:G51"/>
    <mergeCell ref="F54:G54"/>
    <mergeCell ref="J35:O35"/>
    <mergeCell ref="B80:G83"/>
    <mergeCell ref="G73:H73"/>
    <mergeCell ref="G75:H75"/>
    <mergeCell ref="F164:G164"/>
    <mergeCell ref="B158:C158"/>
    <mergeCell ref="B116:D116"/>
    <mergeCell ref="H116:J116"/>
    <mergeCell ref="F50:G50"/>
    <mergeCell ref="E53:G53"/>
    <mergeCell ref="F61:G61"/>
    <mergeCell ref="F49:G49"/>
    <mergeCell ref="F59:G59"/>
    <mergeCell ref="G72:H72"/>
    <mergeCell ref="F48:G48"/>
    <mergeCell ref="F58:G58"/>
    <mergeCell ref="B114:B115"/>
    <mergeCell ref="B200:E201"/>
    <mergeCell ref="B190:D190"/>
    <mergeCell ref="B174:G175"/>
    <mergeCell ref="B176:C176"/>
    <mergeCell ref="B199:D199"/>
    <mergeCell ref="B27:E27"/>
    <mergeCell ref="B28:G28"/>
    <mergeCell ref="B196:G196"/>
    <mergeCell ref="B195:G195"/>
    <mergeCell ref="C90:E90"/>
    <mergeCell ref="C91:E91"/>
    <mergeCell ref="B84:G84"/>
    <mergeCell ref="B191:G193"/>
    <mergeCell ref="B66:G67"/>
    <mergeCell ref="B62:C62"/>
    <mergeCell ref="B7:G7"/>
    <mergeCell ref="B6:G6"/>
    <mergeCell ref="C17:D17"/>
    <mergeCell ref="E17:G17"/>
    <mergeCell ref="J31:O32"/>
    <mergeCell ref="J19:O21"/>
    <mergeCell ref="J22:O23"/>
    <mergeCell ref="B4:G4"/>
    <mergeCell ref="B11:G12"/>
    <mergeCell ref="B13:F13"/>
    <mergeCell ref="D10:G10"/>
    <mergeCell ref="C16:G16"/>
    <mergeCell ref="B14:G14"/>
    <mergeCell ref="B21:G21"/>
    <mergeCell ref="B26:G26"/>
    <mergeCell ref="J16:O17"/>
    <mergeCell ref="J1:K1"/>
    <mergeCell ref="F45:G45"/>
    <mergeCell ref="C40:G40"/>
    <mergeCell ref="B22:G22"/>
    <mergeCell ref="B35:G35"/>
    <mergeCell ref="B1:F1"/>
    <mergeCell ref="J14:O14"/>
    <mergeCell ref="B271:E271"/>
    <mergeCell ref="H300:H303"/>
    <mergeCell ref="C265:D265"/>
    <mergeCell ref="C256:G256"/>
    <mergeCell ref="C258:E258"/>
    <mergeCell ref="C251:G251"/>
    <mergeCell ref="G265:H265"/>
    <mergeCell ref="C266:D266"/>
    <mergeCell ref="C269:G269"/>
    <mergeCell ref="C268:F268"/>
    <mergeCell ref="B240:G242"/>
    <mergeCell ref="B202:C202"/>
    <mergeCell ref="B222:D223"/>
    <mergeCell ref="C3:F3"/>
    <mergeCell ref="C2:G2"/>
    <mergeCell ref="B8:G8"/>
    <mergeCell ref="D5:G5"/>
    <mergeCell ref="C274:G274"/>
    <mergeCell ref="C275:G275"/>
    <mergeCell ref="B298:G298"/>
    <mergeCell ref="B279:G279"/>
    <mergeCell ref="C276:E276"/>
    <mergeCell ref="B294:G295"/>
    <mergeCell ref="B284:G286"/>
    <mergeCell ref="B306:G306"/>
    <mergeCell ref="C328:F328"/>
    <mergeCell ref="B318:G318"/>
    <mergeCell ref="B304:G304"/>
    <mergeCell ref="B282:F282"/>
    <mergeCell ref="B309:G309"/>
    <mergeCell ref="B311:G311"/>
    <mergeCell ref="F322:G324"/>
    <mergeCell ref="B315:G315"/>
    <mergeCell ref="B320:G320"/>
    <mergeCell ref="B319:G319"/>
    <mergeCell ref="B287:E289"/>
    <mergeCell ref="B308:G308"/>
    <mergeCell ref="B303:G303"/>
    <mergeCell ref="B301:G301"/>
    <mergeCell ref="B292:G292"/>
    <mergeCell ref="B335:G335"/>
    <mergeCell ref="B312:G312"/>
    <mergeCell ref="B302:G302"/>
    <mergeCell ref="B299:G299"/>
    <mergeCell ref="C332:E332"/>
    <mergeCell ref="C326:F326"/>
    <mergeCell ref="C327:F327"/>
    <mergeCell ref="B314:G314"/>
    <mergeCell ref="B293:G293"/>
    <mergeCell ref="C329:F329"/>
    <mergeCell ref="C330:F330"/>
    <mergeCell ref="B226:G226"/>
    <mergeCell ref="B211:G211"/>
    <mergeCell ref="D237:G237"/>
    <mergeCell ref="B283:D283"/>
    <mergeCell ref="B300:G300"/>
    <mergeCell ref="D229:E229"/>
    <mergeCell ref="B297:G297"/>
    <mergeCell ref="C216:E216"/>
    <mergeCell ref="B317:G317"/>
    <mergeCell ref="B313:G313"/>
    <mergeCell ref="B239:G239"/>
    <mergeCell ref="B231:G232"/>
    <mergeCell ref="B234:G234"/>
    <mergeCell ref="E222:G223"/>
    <mergeCell ref="C250:G250"/>
    <mergeCell ref="B290:E290"/>
    <mergeCell ref="B316:G316"/>
    <mergeCell ref="B310:G310"/>
    <mergeCell ref="B305:G305"/>
    <mergeCell ref="B307:G307"/>
    <mergeCell ref="B262:G262"/>
    <mergeCell ref="B267:C267"/>
    <mergeCell ref="B281:F281"/>
    <mergeCell ref="B273:B274"/>
    <mergeCell ref="C341:D341"/>
    <mergeCell ref="B179:G179"/>
    <mergeCell ref="C273:G273"/>
    <mergeCell ref="C260:G260"/>
    <mergeCell ref="B236:C237"/>
    <mergeCell ref="B248:D248"/>
    <mergeCell ref="C254:G254"/>
    <mergeCell ref="B261:G261"/>
    <mergeCell ref="B207:C207"/>
    <mergeCell ref="D236:G236"/>
    <mergeCell ref="C257:E257"/>
    <mergeCell ref="C259:E259"/>
    <mergeCell ref="C253:G253"/>
    <mergeCell ref="C252:G252"/>
    <mergeCell ref="F244:G244"/>
    <mergeCell ref="B246:G246"/>
    <mergeCell ref="D228:F228"/>
    <mergeCell ref="F243:G243"/>
    <mergeCell ref="C255:G255"/>
    <mergeCell ref="F207:K207"/>
    <mergeCell ref="B243:D243"/>
    <mergeCell ref="B249:G249"/>
    <mergeCell ref="B220:F221"/>
    <mergeCell ref="F227:G227"/>
  </mergeCells>
  <phoneticPr fontId="19" type="noConversion"/>
  <conditionalFormatting sqref="F120 F147 F154">
    <cfRule type="cellIs" dxfId="1" priority="4" stopIfTrue="1" operator="equal">
      <formula>0</formula>
    </cfRule>
  </conditionalFormatting>
  <conditionalFormatting sqref="F133">
    <cfRule type="cellIs" dxfId="0" priority="1" stopIfTrue="1" operator="equal">
      <formula>0</formula>
    </cfRule>
  </conditionalFormatting>
  <dataValidations xWindow="652" yWindow="557" count="23">
    <dataValidation type="decimal" errorStyle="warning" operator="lessThanOrEqual" allowBlank="1" showErrorMessage="1" errorTitle="h &gt; x" error="h not usually greater than x ?  check data" sqref="D50" xr:uid="{317AA2AB-CAA7-4E6A-B31D-E2CF8A9EAE98}">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515B299C-C8CA-4F43-AD06-1B0A2C19F819}">
      <formula1>D48</formula1>
    </dataValidation>
    <dataValidation type="decimal" operator="greaterThanOrEqual" allowBlank="1" showErrorMessage="1" errorTitle="HLUmax" error="Cannot be shorter than HLU !" sqref="D118" xr:uid="{A2E14AE4-F672-4739-B024-C55428B8CC9D}">
      <formula1>D119</formula1>
    </dataValidation>
    <dataValidation type="list" allowBlank="1" showInputMessage="1" showErrorMessage="1" sqref="B29:C29" xr:uid="{DE8CD2CD-DFBC-40EF-A5BB-1EEC335928E8}">
      <formula1>INDIRECT(B27)</formula1>
    </dataValidation>
    <dataValidation type="list" allowBlank="1" showInputMessage="1" showErrorMessage="1" sqref="D29:E29" xr:uid="{0B601F77-8891-473C-BC69-1437E762236A}">
      <formula1>INDIRECT(B29)</formula1>
    </dataValidation>
    <dataValidation operator="greaterThan" allowBlank="1" showInputMessage="1" promptTitle="Select from list" prompt="Select from list before proceeding" sqref="C343" xr:uid="{5B0F3EFB-8628-4597-8619-1E1099F99A0B}"/>
    <dataValidation type="whole" operator="greaterThanOrEqual" allowBlank="1" showErrorMessage="1" errorTitle="whole number only" sqref="C265" xr:uid="{AA2F0F75-7537-45D2-8540-2062D3021BBD}">
      <formula1>1</formula1>
    </dataValidation>
    <dataValidation allowBlank="1" showInputMessage="1" showErrorMessage="1" promptTitle="Country" prompt="Most applications from boats outside the UK go via local area representatives. Please read the explanatory notes before completing this form further." sqref="C258" xr:uid="{BB41249F-1D58-4F95-984A-D66060DD81D4}"/>
    <dataValidation type="decimal" operator="greaterThanOrEqual" allowBlank="1" showErrorMessage="1" errorTitle="Invalid input" error="Input number in metres only, with no text" sqref="D151:D156 D51 D62:D64 D48 D58:D59 D119:D120 D109:D111 F153 D97:D102 D130:D134 F146 D159 D122:D123 D144:D149 D213:D215 D217:D218" xr:uid="{5DB1E610-5FA6-4C53-A8F2-690898FCF336}">
      <formula1>0</formula1>
    </dataValidation>
    <dataValidation type="whole" operator="greaterThanOrEqual" allowBlank="1" showErrorMessage="1" errorTitle="input whole number only" error="if not applicable leave blank_x000a_" sqref="G204 D203:D204" xr:uid="{8838C340-462F-4939-B160-460F1F23C452}">
      <formula1>1</formula1>
    </dataValidation>
    <dataValidation type="decimal" operator="greaterThanOrEqual" allowBlank="1" showErrorMessage="1" errorTitle="input number only" error="if not applicable leave blank" sqref="E206:E207 D205" xr:uid="{10DDC74A-29E5-48FC-8822-6BAA3894C6A6}">
      <formula1>1</formula1>
    </dataValidation>
    <dataValidation type="whole" operator="greaterThanOrEqual" allowBlank="1" showErrorMessage="1" errorTitle="input number only" sqref="F180 D140:D142" xr:uid="{9BFDBCA3-232D-4A4E-9FEA-8766B1E00C6E}">
      <formula1>0</formula1>
    </dataValidation>
    <dataValidation type="whole" operator="greaterThanOrEqual" allowBlank="1" showErrorMessage="1" errorTitle="input number or 0 only" sqref="D165:D167" xr:uid="{2F92F32E-4B04-48A9-A389-11D814D380D2}">
      <formula1>0</formula1>
    </dataValidation>
    <dataValidation type="decimal" operator="greaterThanOrEqual" allowBlank="1" showInputMessage="1" showErrorMessage="1" sqref="D135:D137 D121 D124" xr:uid="{E9A8A103-D22B-4D6D-9587-EF7B33F54C23}">
      <formula1>0</formula1>
    </dataValidation>
    <dataValidation type="whole" operator="greaterThanOrEqual" allowBlank="1" showErrorMessage="1" errorTitle="Whole number in KG required" sqref="D54:D55" xr:uid="{EE9E4CC6-6CED-41F1-81FC-5DF9F4A4DD57}">
      <formula1>0</formula1>
    </dataValidation>
    <dataValidation type="whole" operator="greaterThanOrEqual" allowBlank="1" showErrorMessage="1" errorTitle="input whole number only" promptTitle="Bulb weight" prompt="Will accept number only" sqref="D56" xr:uid="{ED39069E-E9ED-4FA2-9211-D3957255C494}">
      <formula1>0</formula1>
    </dataValidation>
    <dataValidation type="decimal" operator="greaterThanOrEqual" allowBlank="1" showInputMessage="1" showErrorMessage="1" errorTitle="input number only" sqref="D60 F61" xr:uid="{EEF7CADC-4140-4C61-B4A4-47A2B48C795B}">
      <formula1>0</formula1>
    </dataValidation>
    <dataValidation type="whole" operator="greaterThanOrEqual" allowBlank="1" showInputMessage="1" showErrorMessage="1" errorTitle="Whole number in KG required" prompt="Including any internal ballast glassed in at time of build." sqref="F57" xr:uid="{6A477A5D-3FE4-400F-B957-5D6FFD47781A}">
      <formula1>0</formula1>
    </dataValidation>
    <dataValidation allowBlank="1" showErrorMessage="1" sqref="D53" xr:uid="{24D5D843-DF17-4B42-BBB7-EAB1543CAED2}"/>
    <dataValidation type="whole" operator="greaterThanOrEqual" allowBlank="1" showErrorMessage="1" errorTitle="Input whole year" error="YYYY format required" sqref="C41" xr:uid="{F01292EC-CC7E-4B30-8507-76A325CD517E}">
      <formula1>1000</formula1>
    </dataValidation>
    <dataValidation type="list" allowBlank="1" showInputMessage="1" showErrorMessage="1" sqref="F29" xr:uid="{B202C672-1973-4337-81BD-104320BB98C8}">
      <formula1>INDIRECT(#REF!)</formula1>
    </dataValidation>
    <dataValidation type="list" allowBlank="1" showInputMessage="1" showErrorMessage="1" sqref="B27" xr:uid="{C7C113CF-E4F8-4CE1-BFE2-4C766AA108CC}">
      <formula1>Design1</formula1>
    </dataValidation>
    <dataValidation type="decimal" operator="greaterThanOrEqual" allowBlank="1" showErrorMessage="1" errorTitle="LLmax" error="Cannot be shorter than LL !" sqref="D128" xr:uid="{81357D85-2854-400B-9392-886446565DB9}">
      <formula1>D131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7"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85933AAD-8748-405C-834F-BDCAE8F9C923}"/>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94"/>
  </cellWatches>
  <ignoredErrors>
    <ignoredError sqref="C36 G52 F54 G55 G58:G60 F58 F60 F62 F48:F51 G48:G51 B23 H95 H106" unlockedFormula="1"/>
    <ignoredError sqref="F59" formula="1" unlockedFormula="1"/>
    <ignoredError sqref="F154" formula="1"/>
    <ignoredError sqref="G116"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89" r:id="rId12" name="Drop Down 165">
              <controlPr locked="0" defaultSize="0" autoLine="0" autoPict="0">
                <anchor moveWithCells="1">
                  <from>
                    <xdr:col>2</xdr:col>
                    <xdr:colOff>5443</xdr:colOff>
                    <xdr:row>258</xdr:row>
                    <xdr:rowOff>5443</xdr:rowOff>
                  </from>
                  <to>
                    <xdr:col>4</xdr:col>
                    <xdr:colOff>484414</xdr:colOff>
                    <xdr:row>259</xdr:row>
                    <xdr:rowOff>0</xdr:rowOff>
                  </to>
                </anchor>
              </controlPr>
            </control>
          </mc:Choice>
        </mc:AlternateContent>
        <mc:AlternateContent xmlns:mc="http://schemas.openxmlformats.org/markup-compatibility/2006">
          <mc:Choice Requires="x14">
            <control shapeId="1031" r:id="rId13" name="Drop Down 7">
              <controlPr locked="0" defaultSize="0" autoLine="0" autoPict="0">
                <anchor moveWithCells="1">
                  <from>
                    <xdr:col>3</xdr:col>
                    <xdr:colOff>293914</xdr:colOff>
                    <xdr:row>156</xdr:row>
                    <xdr:rowOff>0</xdr:rowOff>
                  </from>
                  <to>
                    <xdr:col>6</xdr:col>
                    <xdr:colOff>1240971</xdr:colOff>
                    <xdr:row>156</xdr:row>
                    <xdr:rowOff>239486</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163</xdr:row>
                    <xdr:rowOff>5443</xdr:rowOff>
                  </from>
                  <to>
                    <xdr:col>3</xdr:col>
                    <xdr:colOff>522514</xdr:colOff>
                    <xdr:row>163</xdr:row>
                    <xdr:rowOff>217714</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903514</xdr:colOff>
                    <xdr:row>179</xdr:row>
                    <xdr:rowOff>10886</xdr:rowOff>
                  </from>
                  <to>
                    <xdr:col>2</xdr:col>
                    <xdr:colOff>462643</xdr:colOff>
                    <xdr:row>179</xdr:row>
                    <xdr:rowOff>223157</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908957</xdr:colOff>
                    <xdr:row>181</xdr:row>
                    <xdr:rowOff>38100</xdr:rowOff>
                  </from>
                  <to>
                    <xdr:col>4</xdr:col>
                    <xdr:colOff>81643</xdr:colOff>
                    <xdr:row>181</xdr:row>
                    <xdr:rowOff>234043</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2</xdr:col>
                    <xdr:colOff>10886</xdr:colOff>
                    <xdr:row>161</xdr:row>
                    <xdr:rowOff>32657</xdr:rowOff>
                  </from>
                  <to>
                    <xdr:col>3</xdr:col>
                    <xdr:colOff>555171</xdr:colOff>
                    <xdr:row>162</xdr:row>
                    <xdr:rowOff>27214</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745671</xdr:colOff>
                    <xdr:row>161</xdr:row>
                    <xdr:rowOff>21771</xdr:rowOff>
                  </from>
                  <to>
                    <xdr:col>6</xdr:col>
                    <xdr:colOff>370114</xdr:colOff>
                    <xdr:row>162</xdr:row>
                    <xdr:rowOff>21771</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527957</xdr:colOff>
                    <xdr:row>242</xdr:row>
                    <xdr:rowOff>0</xdr:rowOff>
                  </from>
                  <to>
                    <xdr:col>4</xdr:col>
                    <xdr:colOff>223157</xdr:colOff>
                    <xdr:row>243</xdr:row>
                    <xdr:rowOff>43543</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1</xdr:col>
                    <xdr:colOff>1600200</xdr:colOff>
                    <xdr:row>67</xdr:row>
                    <xdr:rowOff>10886</xdr:rowOff>
                  </from>
                  <to>
                    <xdr:col>6</xdr:col>
                    <xdr:colOff>783771</xdr:colOff>
                    <xdr:row>68</xdr:row>
                    <xdr:rowOff>5443</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5443</xdr:colOff>
                    <xdr:row>69</xdr:row>
                    <xdr:rowOff>32657</xdr:rowOff>
                  </from>
                  <to>
                    <xdr:col>5</xdr:col>
                    <xdr:colOff>555171</xdr:colOff>
                    <xdr:row>69</xdr:row>
                    <xdr:rowOff>234043</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560614</xdr:colOff>
                    <xdr:row>73</xdr:row>
                    <xdr:rowOff>223157</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560614</xdr:colOff>
                    <xdr:row>74</xdr:row>
                    <xdr:rowOff>217714</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555171</xdr:colOff>
                    <xdr:row>75</xdr:row>
                    <xdr:rowOff>223157</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571500</xdr:colOff>
                    <xdr:row>72</xdr:row>
                    <xdr:rowOff>27214</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65314</xdr:rowOff>
                  </from>
                  <to>
                    <xdr:col>5</xdr:col>
                    <xdr:colOff>560614</xdr:colOff>
                    <xdr:row>72</xdr:row>
                    <xdr:rowOff>261257</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5443</xdr:colOff>
                    <xdr:row>70</xdr:row>
                    <xdr:rowOff>32657</xdr:rowOff>
                  </from>
                  <to>
                    <xdr:col>5</xdr:col>
                    <xdr:colOff>544286</xdr:colOff>
                    <xdr:row>70</xdr:row>
                    <xdr:rowOff>234043</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947057</xdr:colOff>
                    <xdr:row>76</xdr:row>
                    <xdr:rowOff>195943</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32657</xdr:colOff>
                    <xdr:row>197</xdr:row>
                    <xdr:rowOff>0</xdr:rowOff>
                  </from>
                  <to>
                    <xdr:col>4</xdr:col>
                    <xdr:colOff>419100</xdr:colOff>
                    <xdr:row>197</xdr:row>
                    <xdr:rowOff>195943</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27214</xdr:colOff>
                    <xdr:row>196</xdr:row>
                    <xdr:rowOff>195943</xdr:rowOff>
                  </from>
                  <to>
                    <xdr:col>1</xdr:col>
                    <xdr:colOff>1638300</xdr:colOff>
                    <xdr:row>197</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32657</xdr:colOff>
                    <xdr:row>196</xdr:row>
                    <xdr:rowOff>195943</xdr:rowOff>
                  </from>
                  <to>
                    <xdr:col>6</xdr:col>
                    <xdr:colOff>794657</xdr:colOff>
                    <xdr:row>197</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0</xdr:colOff>
                    <xdr:row>170</xdr:row>
                    <xdr:rowOff>5443</xdr:rowOff>
                  </from>
                  <to>
                    <xdr:col>5</xdr:col>
                    <xdr:colOff>767443</xdr:colOff>
                    <xdr:row>171</xdr:row>
                    <xdr:rowOff>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484414</xdr:colOff>
                    <xdr:row>2</xdr:row>
                    <xdr:rowOff>32657</xdr:rowOff>
                  </from>
                  <to>
                    <xdr:col>6</xdr:col>
                    <xdr:colOff>865414</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32657</xdr:colOff>
                    <xdr:row>262</xdr:row>
                    <xdr:rowOff>0</xdr:rowOff>
                  </from>
                  <to>
                    <xdr:col>4</xdr:col>
                    <xdr:colOff>527957</xdr:colOff>
                    <xdr:row>262</xdr:row>
                    <xdr:rowOff>195943</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27214</xdr:colOff>
                    <xdr:row>263</xdr:row>
                    <xdr:rowOff>32657</xdr:rowOff>
                  </from>
                  <to>
                    <xdr:col>4</xdr:col>
                    <xdr:colOff>522514</xdr:colOff>
                    <xdr:row>263</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65314</xdr:colOff>
                    <xdr:row>219</xdr:row>
                    <xdr:rowOff>65314</xdr:rowOff>
                  </from>
                  <to>
                    <xdr:col>7</xdr:col>
                    <xdr:colOff>136071</xdr:colOff>
                    <xdr:row>220</xdr:row>
                    <xdr:rowOff>38100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489857</xdr:colOff>
                    <xdr:row>62</xdr:row>
                    <xdr:rowOff>185057</xdr:rowOff>
                  </from>
                  <to>
                    <xdr:col>4</xdr:col>
                    <xdr:colOff>21771</xdr:colOff>
                    <xdr:row>64</xdr:row>
                    <xdr:rowOff>5443</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315686</xdr:colOff>
                    <xdr:row>62</xdr:row>
                    <xdr:rowOff>185057</xdr:rowOff>
                  </from>
                  <to>
                    <xdr:col>6</xdr:col>
                    <xdr:colOff>1246414</xdr:colOff>
                    <xdr:row>64</xdr:row>
                    <xdr:rowOff>5443</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631371</xdr:colOff>
                    <xdr:row>199</xdr:row>
                    <xdr:rowOff>65314</xdr:rowOff>
                  </from>
                  <to>
                    <xdr:col>5</xdr:col>
                    <xdr:colOff>805543</xdr:colOff>
                    <xdr:row>200</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1632857</xdr:colOff>
                    <xdr:row>56</xdr:row>
                    <xdr:rowOff>38100</xdr:rowOff>
                  </from>
                  <to>
                    <xdr:col>2</xdr:col>
                    <xdr:colOff>538843</xdr:colOff>
                    <xdr:row>56</xdr:row>
                    <xdr:rowOff>234043</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5443</xdr:colOff>
                    <xdr:row>201</xdr:row>
                    <xdr:rowOff>10886</xdr:rowOff>
                  </from>
                  <to>
                    <xdr:col>4</xdr:col>
                    <xdr:colOff>364671</xdr:colOff>
                    <xdr:row>201</xdr:row>
                    <xdr:rowOff>255814</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4</xdr:col>
                    <xdr:colOff>0</xdr:colOff>
                    <xdr:row>168</xdr:row>
                    <xdr:rowOff>38100</xdr:rowOff>
                  </from>
                  <to>
                    <xdr:col>5</xdr:col>
                    <xdr:colOff>478971</xdr:colOff>
                    <xdr:row>168</xdr:row>
                    <xdr:rowOff>255814</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159</xdr:row>
                    <xdr:rowOff>32657</xdr:rowOff>
                  </from>
                  <to>
                    <xdr:col>4</xdr:col>
                    <xdr:colOff>598714</xdr:colOff>
                    <xdr:row>160</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32657</xdr:colOff>
                    <xdr:row>183</xdr:row>
                    <xdr:rowOff>5443</xdr:rowOff>
                  </from>
                  <to>
                    <xdr:col>3</xdr:col>
                    <xdr:colOff>163286</xdr:colOff>
                    <xdr:row>183</xdr:row>
                    <xdr:rowOff>223157</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1398814</xdr:colOff>
                    <xdr:row>227</xdr:row>
                    <xdr:rowOff>0</xdr:rowOff>
                  </from>
                  <to>
                    <xdr:col>2</xdr:col>
                    <xdr:colOff>353786</xdr:colOff>
                    <xdr:row>228</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669471</xdr:colOff>
                    <xdr:row>223</xdr:row>
                    <xdr:rowOff>27214</xdr:rowOff>
                  </from>
                  <to>
                    <xdr:col>3</xdr:col>
                    <xdr:colOff>141514</xdr:colOff>
                    <xdr:row>224</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65314</xdr:colOff>
                    <xdr:row>223</xdr:row>
                    <xdr:rowOff>38100</xdr:rowOff>
                  </from>
                  <to>
                    <xdr:col>6</xdr:col>
                    <xdr:colOff>674914</xdr:colOff>
                    <xdr:row>224</xdr:row>
                    <xdr:rowOff>70757</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188</xdr:row>
                    <xdr:rowOff>157843</xdr:rowOff>
                  </from>
                  <to>
                    <xdr:col>5</xdr:col>
                    <xdr:colOff>745671</xdr:colOff>
                    <xdr:row>189</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208</xdr:row>
                    <xdr:rowOff>32657</xdr:rowOff>
                  </from>
                  <to>
                    <xdr:col>3</xdr:col>
                    <xdr:colOff>174171</xdr:colOff>
                    <xdr:row>209</xdr:row>
                    <xdr:rowOff>0</xdr:rowOff>
                  </to>
                </anchor>
              </controlPr>
            </control>
          </mc:Choice>
        </mc:AlternateContent>
        <mc:AlternateContent xmlns:mc="http://schemas.openxmlformats.org/markup-compatibility/2006">
          <mc:Choice Requires="x14">
            <control shapeId="1188" r:id="rId50" name="Drop Down 164">
              <controlPr locked="0" defaultSize="0" autoLine="0" autoPict="0">
                <anchor moveWithCells="1">
                  <from>
                    <xdr:col>2</xdr:col>
                    <xdr:colOff>27214</xdr:colOff>
                    <xdr:row>257</xdr:row>
                    <xdr:rowOff>5443</xdr:rowOff>
                  </from>
                  <to>
                    <xdr:col>4</xdr:col>
                    <xdr:colOff>489857</xdr:colOff>
                    <xdr:row>258</xdr:row>
                    <xdr:rowOff>0</xdr:rowOff>
                  </to>
                </anchor>
              </controlPr>
            </control>
          </mc:Choice>
        </mc:AlternateContent>
        <mc:AlternateContent xmlns:mc="http://schemas.openxmlformats.org/markup-compatibility/2006">
          <mc:Choice Requires="x14">
            <control shapeId="1192" r:id="rId51" name="Drop Down 168">
              <controlPr defaultSize="0" autoLine="0" autoPict="0">
                <anchor moveWithCells="1">
                  <from>
                    <xdr:col>6</xdr:col>
                    <xdr:colOff>5443</xdr:colOff>
                    <xdr:row>280</xdr:row>
                    <xdr:rowOff>5443</xdr:rowOff>
                  </from>
                  <to>
                    <xdr:col>6</xdr:col>
                    <xdr:colOff>1251857</xdr:colOff>
                    <xdr:row>280</xdr:row>
                    <xdr:rowOff>201386</xdr:rowOff>
                  </to>
                </anchor>
              </controlPr>
            </control>
          </mc:Choice>
        </mc:AlternateContent>
        <mc:AlternateContent xmlns:mc="http://schemas.openxmlformats.org/markup-compatibility/2006">
          <mc:Choice Requires="x14">
            <control shapeId="1205" r:id="rId52" name="Drop Down 181">
              <controlPr locked="0" defaultSize="0" autoLine="0" autoPict="0">
                <anchor moveWithCells="1">
                  <from>
                    <xdr:col>5</xdr:col>
                    <xdr:colOff>5443</xdr:colOff>
                    <xdr:row>227</xdr:row>
                    <xdr:rowOff>0</xdr:rowOff>
                  </from>
                  <to>
                    <xdr:col>6</xdr:col>
                    <xdr:colOff>38100</xdr:colOff>
                    <xdr:row>228</xdr:row>
                    <xdr:rowOff>0</xdr:rowOff>
                  </to>
                </anchor>
              </controlPr>
            </control>
          </mc:Choice>
        </mc:AlternateContent>
        <mc:AlternateContent xmlns:mc="http://schemas.openxmlformats.org/markup-compatibility/2006">
          <mc:Choice Requires="x14">
            <control shapeId="1206" r:id="rId53" name="Drop Down 182">
              <controlPr locked="0" defaultSize="0" autoLine="0" autoPict="0">
                <anchor moveWithCells="1">
                  <from>
                    <xdr:col>1</xdr:col>
                    <xdr:colOff>1398814</xdr:colOff>
                    <xdr:row>228</xdr:row>
                    <xdr:rowOff>0</xdr:rowOff>
                  </from>
                  <to>
                    <xdr:col>2</xdr:col>
                    <xdr:colOff>353786</xdr:colOff>
                    <xdr:row>229</xdr:row>
                    <xdr:rowOff>0</xdr:rowOff>
                  </to>
                </anchor>
              </controlPr>
            </control>
          </mc:Choice>
        </mc:AlternateContent>
        <mc:AlternateContent xmlns:mc="http://schemas.openxmlformats.org/markup-compatibility/2006">
          <mc:Choice Requires="x14">
            <control shapeId="1207" r:id="rId54" name="Drop Down 183">
              <controlPr locked="0" defaultSize="0" autoLine="0" autoPict="0">
                <anchor moveWithCells="1">
                  <from>
                    <xdr:col>1</xdr:col>
                    <xdr:colOff>1398814</xdr:colOff>
                    <xdr:row>229</xdr:row>
                    <xdr:rowOff>0</xdr:rowOff>
                  </from>
                  <to>
                    <xdr:col>2</xdr:col>
                    <xdr:colOff>353786</xdr:colOff>
                    <xdr:row>230</xdr:row>
                    <xdr:rowOff>0</xdr:rowOff>
                  </to>
                </anchor>
              </controlPr>
            </control>
          </mc:Choice>
        </mc:AlternateContent>
        <mc:AlternateContent xmlns:mc="http://schemas.openxmlformats.org/markup-compatibility/2006">
          <mc:Choice Requires="x14">
            <control shapeId="1210" r:id="rId55" name="Drop Down 186">
              <controlPr locked="0" defaultSize="0" autoLine="0" autoPict="0">
                <anchor moveWithCells="1">
                  <from>
                    <xdr:col>6</xdr:col>
                    <xdr:colOff>239486</xdr:colOff>
                    <xdr:row>29</xdr:row>
                    <xdr:rowOff>108857</xdr:rowOff>
                  </from>
                  <to>
                    <xdr:col>6</xdr:col>
                    <xdr:colOff>1507671</xdr:colOff>
                    <xdr:row>30</xdr:row>
                    <xdr:rowOff>152400</xdr:rowOff>
                  </to>
                </anchor>
              </controlPr>
            </control>
          </mc:Choice>
        </mc:AlternateContent>
        <mc:AlternateContent xmlns:mc="http://schemas.openxmlformats.org/markup-compatibility/2006">
          <mc:Choice Requires="x14">
            <control shapeId="1241" r:id="rId56" name="Drop Down 217">
              <controlPr defaultSize="0" autoLine="0" autoPict="0">
                <anchor moveWithCells="1">
                  <from>
                    <xdr:col>6</xdr:col>
                    <xdr:colOff>484414</xdr:colOff>
                    <xdr:row>181</xdr:row>
                    <xdr:rowOff>10886</xdr:rowOff>
                  </from>
                  <to>
                    <xdr:col>6</xdr:col>
                    <xdr:colOff>1001486</xdr:colOff>
                    <xdr:row>181</xdr:row>
                    <xdr:rowOff>212271</xdr:rowOff>
                  </to>
                </anchor>
              </controlPr>
            </control>
          </mc:Choice>
        </mc:AlternateContent>
        <mc:AlternateContent xmlns:mc="http://schemas.openxmlformats.org/markup-compatibility/2006">
          <mc:Choice Requires="x14">
            <control shapeId="1538" r:id="rId57" name="Drop Down 514">
              <controlPr locked="0" defaultSize="0" autoLine="0" autoPict="0">
                <anchor moveWithCells="1">
                  <from>
                    <xdr:col>3</xdr:col>
                    <xdr:colOff>0</xdr:colOff>
                    <xdr:row>203</xdr:row>
                    <xdr:rowOff>43543</xdr:rowOff>
                  </from>
                  <to>
                    <xdr:col>4</xdr:col>
                    <xdr:colOff>353786</xdr:colOff>
                    <xdr:row>203</xdr:row>
                    <xdr:rowOff>272143</xdr:rowOff>
                  </to>
                </anchor>
              </controlPr>
            </control>
          </mc:Choice>
        </mc:AlternateContent>
        <mc:AlternateContent xmlns:mc="http://schemas.openxmlformats.org/markup-compatibility/2006">
          <mc:Choice Requires="x14">
            <control shapeId="1674" r:id="rId58" name="Drop Down 650">
              <controlPr locked="0" defaultSize="0" autoLine="0" autoPict="0">
                <anchor moveWithCells="1">
                  <from>
                    <xdr:col>3</xdr:col>
                    <xdr:colOff>0</xdr:colOff>
                    <xdr:row>206</xdr:row>
                    <xdr:rowOff>0</xdr:rowOff>
                  </from>
                  <to>
                    <xdr:col>4</xdr:col>
                    <xdr:colOff>353786</xdr:colOff>
                    <xdr:row>206</xdr:row>
                    <xdr:rowOff>223157</xdr:rowOff>
                  </to>
                </anchor>
              </controlPr>
            </control>
          </mc:Choice>
        </mc:AlternateContent>
        <mc:AlternateContent xmlns:mc="http://schemas.openxmlformats.org/markup-compatibility/2006">
          <mc:Choice Requires="x14">
            <control shapeId="1809" r:id="rId59" name="Check Box 785">
              <controlPr defaultSize="0" autoFill="0" autoLine="0" autoPict="0">
                <anchor moveWithCells="1">
                  <from>
                    <xdr:col>5</xdr:col>
                    <xdr:colOff>419100</xdr:colOff>
                    <xdr:row>288</xdr:row>
                    <xdr:rowOff>5443</xdr:rowOff>
                  </from>
                  <to>
                    <xdr:col>5</xdr:col>
                    <xdr:colOff>734786</xdr:colOff>
                    <xdr:row>288</xdr:row>
                    <xdr:rowOff>228600</xdr:rowOff>
                  </to>
                </anchor>
              </controlPr>
            </control>
          </mc:Choice>
        </mc:AlternateContent>
        <mc:AlternateContent xmlns:mc="http://schemas.openxmlformats.org/markup-compatibility/2006">
          <mc:Choice Requires="x14">
            <control shapeId="1909" r:id="rId60" name="Drop Down 885">
              <controlPr locked="0" defaultSize="0" autoLine="0" autoPict="0">
                <anchor moveWithCells="1">
                  <from>
                    <xdr:col>3</xdr:col>
                    <xdr:colOff>288471</xdr:colOff>
                    <xdr:row>157</xdr:row>
                    <xdr:rowOff>38100</xdr:rowOff>
                  </from>
                  <to>
                    <xdr:col>5</xdr:col>
                    <xdr:colOff>299357</xdr:colOff>
                    <xdr:row>157</xdr:row>
                    <xdr:rowOff>255814</xdr:rowOff>
                  </to>
                </anchor>
              </controlPr>
            </control>
          </mc:Choice>
        </mc:AlternateContent>
        <mc:AlternateContent xmlns:mc="http://schemas.openxmlformats.org/markup-compatibility/2006">
          <mc:Choice Requires="x14">
            <control shapeId="1912" r:id="rId61" name="Drop Down 888">
              <controlPr defaultSize="0" autoLine="0" autoPict="0">
                <anchor moveWithCells="1">
                  <from>
                    <xdr:col>6</xdr:col>
                    <xdr:colOff>5443</xdr:colOff>
                    <xdr:row>12</xdr:row>
                    <xdr:rowOff>5443</xdr:rowOff>
                  </from>
                  <to>
                    <xdr:col>6</xdr:col>
                    <xdr:colOff>1251857</xdr:colOff>
                    <xdr:row>12</xdr:row>
                    <xdr:rowOff>201386</xdr:rowOff>
                  </to>
                </anchor>
              </controlPr>
            </control>
          </mc:Choice>
        </mc:AlternateContent>
        <mc:AlternateContent xmlns:mc="http://schemas.openxmlformats.org/markup-compatibility/2006">
          <mc:Choice Requires="x14">
            <control shapeId="1914" r:id="rId62" name="Drop Down 890">
              <controlPr defaultSize="0" autoLine="0" autoPict="0">
                <anchor moveWithCells="1">
                  <from>
                    <xdr:col>4</xdr:col>
                    <xdr:colOff>21771</xdr:colOff>
                    <xdr:row>115</xdr:row>
                    <xdr:rowOff>0</xdr:rowOff>
                  </from>
                  <to>
                    <xdr:col>6</xdr:col>
                    <xdr:colOff>0</xdr:colOff>
                    <xdr:row>115</xdr:row>
                    <xdr:rowOff>217714</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G1" workbookViewId="0">
      <selection activeCell="K3" sqref="K3"/>
    </sheetView>
  </sheetViews>
  <sheetFormatPr defaultColWidth="9.15234375" defaultRowHeight="12.45"/>
  <cols>
    <col min="1" max="1" width="9.15234375" style="20"/>
    <col min="2" max="2" width="11.4609375" style="20" bestFit="1" customWidth="1"/>
    <col min="3" max="3" width="9.15234375" style="20"/>
    <col min="4" max="4" width="39" style="20" customWidth="1"/>
    <col min="5" max="5" width="35.15234375" style="20" customWidth="1"/>
    <col min="6" max="6" width="158.23046875" style="20" bestFit="1" customWidth="1"/>
    <col min="7" max="7" width="28.4609375" style="20" customWidth="1"/>
    <col min="8" max="13" width="9.15234375" style="20"/>
    <col min="14" max="14" width="62.15234375" style="20" bestFit="1" customWidth="1"/>
    <col min="15" max="15" width="68.4609375" style="20" bestFit="1" customWidth="1"/>
    <col min="16" max="16" width="58.53515625" style="20" customWidth="1"/>
    <col min="17" max="17" width="57.84375" style="20" customWidth="1"/>
    <col min="18" max="18" width="39" style="20" customWidth="1"/>
    <col min="19" max="19" width="87.4609375" style="20" bestFit="1" customWidth="1"/>
    <col min="20" max="20" width="22.4609375" style="20" customWidth="1"/>
    <col min="21" max="21" width="9.15234375" style="20"/>
    <col min="22" max="22" width="28.4609375" style="20" customWidth="1"/>
    <col min="23" max="23" width="9.15234375" style="20"/>
    <col min="24" max="24" width="56.84375" style="20" customWidth="1"/>
    <col min="25" max="25" width="76.4609375" style="20" customWidth="1"/>
    <col min="26" max="16384" width="9.15234375" style="20"/>
  </cols>
  <sheetData>
    <row r="1" spans="1:25" s="145" customFormat="1">
      <c r="A1" s="145">
        <f>Application!H441</f>
        <v>6</v>
      </c>
      <c r="B1" s="145" t="s">
        <v>3190</v>
      </c>
      <c r="D1" s="145" t="str">
        <f>LOOKUP($A$1,'Lang Hull'!$A$3:$A$9,'Lang Hull'!D3:D9)</f>
        <v>HULLS  プロダクションボート？スタンダードハルデータに関しての解説は下の青いタグを参照のこと</v>
      </c>
      <c r="E1" s="145" t="str">
        <f>LOOKUP($A$1,'Lang Hull'!$A$3:$A$9,'Lang Hull'!E3:E9)</f>
        <v>各項目で、最も適当と思われる表記を選択し、”その他”や複数である場合、下欄に詳細を記す</v>
      </c>
      <c r="F1" s="145" t="str">
        <f>LOOKUP($A$1,'Lang Hull'!$A$3:$A$9,'Lang Hull'!F3:F9)</f>
        <v>Hull form</v>
      </c>
      <c r="G1" s="145" t="str">
        <f>LOOKUP($A$1,'Lang Hull'!$A$3:$A$9,'Lang Hull'!G3:G9)</f>
        <v>Keel configuration</v>
      </c>
      <c r="H1" s="145" t="str">
        <f>LOOKUP($A$1,'Lang Hull'!$A$3:$A$9,'Lang Hull'!H3:H9)</f>
        <v>Single fin keel type</v>
      </c>
      <c r="I1" s="145" t="str">
        <f>LOOKUP($A$1,'Lang Hull'!$A$3:$A$9,'Lang Hull'!I3:I9)</f>
        <v>"IRC Keels"シートを参照</v>
      </c>
      <c r="J1" s="145">
        <f>LOOKUP($A$1,'Lang Hull'!$A$3:$A$9,'Lang Hull'!J3:J9)</f>
        <v>0</v>
      </c>
      <c r="K1" s="145" t="str">
        <f>LOOKUP($A$1,'Lang Hull'!$A$3:$A$9,'Lang Hull'!K3:K9)</f>
        <v>Rudder</v>
      </c>
      <c r="L1" s="145" t="str">
        <f>LOOKUP($A$1,'Lang Hull'!$A$3:$A$9,'Lang Hull'!L3:L9)</f>
        <v>Hull* material(s)</v>
      </c>
      <c r="M1" s="145" t="str">
        <f>LOOKUP($A$1,'Lang Hull'!$A$3:$A$9,'Lang Hull'!M3:M9)</f>
        <v>Accommodation</v>
      </c>
      <c r="N1" s="145" t="str">
        <f>LOOKUP($A$1,'Lang Hull'!$A$3:$A$9,'Lang Hull'!N3:N9)</f>
        <v>Accommodation materials</v>
      </c>
      <c r="O1" s="145" t="str">
        <f>LOOKUP($A$1,'Lang Hull'!$A$3:$A$9,'Lang Hull'!O3:O9)</f>
        <v>Trim tab(s)</v>
      </c>
      <c r="P1" s="145" t="str">
        <f>LOOKUP($A$1,'Lang Hull'!$A$3:$A$9,'Lang Hull'!P3:P9)</f>
        <v>Daggerboards (keel以外)</v>
      </c>
      <c r="Q1" s="145" t="str">
        <f>LOOKUP($A$1,'Lang Hull'!$A$3:$A$9,'Lang Hull'!Q3:Q9)</f>
        <v>Canard/forward rudder</v>
      </c>
      <c r="R1" s="145" t="str">
        <f>LOOKUP($A$1,'Lang Hull'!$A$3:$A$9,'Lang Hull'!R3:R9)</f>
        <v>Boat Weightにバッテリーは含まれますか？</v>
      </c>
      <c r="S1" s="145" t="str">
        <f>LOOKUP($A$1,'Lang Hull'!$A$3:$A$9,'Lang Hull'!S3:S9)</f>
        <v>バースクッション</v>
      </c>
      <c r="T1" s="145" t="str">
        <f>LOOKUP($A$1,'Lang Hull'!$A$3:$A$9,'Lang Hull'!T3:T9)</f>
        <v>see Rule 22.1.1</v>
      </c>
      <c r="U1" s="145" t="str">
        <f>LOOKUP($A$1,'Lang Hull'!$A$3:$A$9,'Lang Hull'!U3:U9)</f>
        <v>ハルとアペンデージ</v>
      </c>
    </row>
    <row r="2" spans="1:25">
      <c r="J2" s="63"/>
    </row>
    <row r="3" spans="1:25" ht="12.9">
      <c r="A3" s="20">
        <v>1</v>
      </c>
      <c r="B3" s="20" t="s">
        <v>3191</v>
      </c>
      <c r="D3" s="95" t="s">
        <v>2294</v>
      </c>
      <c r="E3" s="53" t="s">
        <v>4740</v>
      </c>
      <c r="F3" s="20" t="s">
        <v>3635</v>
      </c>
      <c r="G3" s="20" t="s">
        <v>2406</v>
      </c>
      <c r="H3" s="296" t="s">
        <v>2407</v>
      </c>
      <c r="I3" s="53" t="s">
        <v>4753</v>
      </c>
      <c r="J3" s="63"/>
      <c r="K3" s="53" t="s">
        <v>3770</v>
      </c>
      <c r="L3" s="53" t="s">
        <v>4736</v>
      </c>
      <c r="M3" s="53" t="s">
        <v>3772</v>
      </c>
      <c r="N3" s="306" t="s">
        <v>534</v>
      </c>
      <c r="O3" s="53" t="s">
        <v>4379</v>
      </c>
      <c r="P3" s="20" t="s">
        <v>3944</v>
      </c>
      <c r="Q3" s="20" t="s">
        <v>3942</v>
      </c>
      <c r="R3" s="20" t="s">
        <v>2459</v>
      </c>
      <c r="S3" s="53" t="s">
        <v>4396</v>
      </c>
      <c r="T3" s="53" t="s">
        <v>4397</v>
      </c>
      <c r="U3" s="53" t="s">
        <v>829</v>
      </c>
      <c r="V3" s="176"/>
      <c r="W3" s="176"/>
    </row>
    <row r="4" spans="1:25">
      <c r="A4" s="20">
        <v>2</v>
      </c>
      <c r="B4" s="20" t="s">
        <v>3192</v>
      </c>
      <c r="D4" s="20" t="s">
        <v>3460</v>
      </c>
      <c r="E4" s="53" t="s">
        <v>4763</v>
      </c>
      <c r="F4" s="102" t="s">
        <v>877</v>
      </c>
      <c r="G4" s="102" t="s">
        <v>878</v>
      </c>
      <c r="H4" s="20" t="s">
        <v>391</v>
      </c>
      <c r="I4" s="20" t="s">
        <v>4069</v>
      </c>
      <c r="J4" s="102"/>
      <c r="K4" s="102" t="s">
        <v>879</v>
      </c>
      <c r="L4" s="306" t="s">
        <v>4735</v>
      </c>
      <c r="M4" s="102" t="s">
        <v>880</v>
      </c>
      <c r="N4" s="306" t="s">
        <v>5470</v>
      </c>
      <c r="O4" s="53" t="s">
        <v>4389</v>
      </c>
      <c r="P4" s="102" t="s">
        <v>881</v>
      </c>
      <c r="Q4" s="102" t="s">
        <v>882</v>
      </c>
      <c r="R4" s="102" t="s">
        <v>131</v>
      </c>
      <c r="S4" s="306" t="s">
        <v>883</v>
      </c>
      <c r="T4" s="53" t="s">
        <v>4397</v>
      </c>
      <c r="U4" s="53" t="s">
        <v>1869</v>
      </c>
    </row>
    <row r="5" spans="1:25">
      <c r="A5" s="20">
        <v>3</v>
      </c>
      <c r="B5" s="20" t="s">
        <v>3193</v>
      </c>
      <c r="D5" s="20" t="s">
        <v>3458</v>
      </c>
      <c r="E5" s="297" t="s">
        <v>4764</v>
      </c>
      <c r="F5" s="92" t="s">
        <v>3590</v>
      </c>
      <c r="G5" s="92" t="s">
        <v>3591</v>
      </c>
      <c r="H5" s="83" t="s">
        <v>3592</v>
      </c>
      <c r="I5" s="297" t="s">
        <v>4754</v>
      </c>
      <c r="J5" s="92"/>
      <c r="K5" s="92" t="s">
        <v>3597</v>
      </c>
      <c r="L5" s="297" t="s">
        <v>4737</v>
      </c>
      <c r="M5" s="92" t="s">
        <v>3598</v>
      </c>
      <c r="N5" s="345" t="s">
        <v>5472</v>
      </c>
      <c r="O5" s="297" t="s">
        <v>4379</v>
      </c>
      <c r="P5" s="92" t="s">
        <v>3599</v>
      </c>
      <c r="Q5" s="92" t="s">
        <v>3600</v>
      </c>
      <c r="R5" s="92" t="s">
        <v>2460</v>
      </c>
      <c r="S5" s="297" t="s">
        <v>700</v>
      </c>
      <c r="T5" s="53" t="s">
        <v>4397</v>
      </c>
      <c r="U5" s="53" t="s">
        <v>1883</v>
      </c>
    </row>
    <row r="6" spans="1:25">
      <c r="A6" s="20">
        <v>4</v>
      </c>
      <c r="B6" s="20" t="s">
        <v>3194</v>
      </c>
      <c r="D6" s="95"/>
      <c r="E6" s="53"/>
      <c r="H6" s="95"/>
      <c r="N6" s="102"/>
      <c r="S6" s="53"/>
      <c r="T6" s="53"/>
      <c r="U6" s="53"/>
    </row>
    <row r="7" spans="1:25">
      <c r="A7" s="20">
        <v>5</v>
      </c>
      <c r="B7" s="20" t="s">
        <v>3195</v>
      </c>
      <c r="D7" s="20" t="s">
        <v>3459</v>
      </c>
      <c r="E7" s="30" t="s">
        <v>4765</v>
      </c>
      <c r="F7" s="92" t="s">
        <v>2472</v>
      </c>
      <c r="G7" s="92" t="s">
        <v>2473</v>
      </c>
      <c r="H7" s="83" t="s">
        <v>2474</v>
      </c>
      <c r="I7" s="297" t="s">
        <v>4755</v>
      </c>
      <c r="J7" s="92"/>
      <c r="K7" s="92" t="s">
        <v>1073</v>
      </c>
      <c r="L7" s="297" t="s">
        <v>4738</v>
      </c>
      <c r="M7" s="92" t="s">
        <v>1074</v>
      </c>
      <c r="N7" s="178" t="s">
        <v>1075</v>
      </c>
      <c r="O7" s="297" t="s">
        <v>4379</v>
      </c>
      <c r="P7" s="92" t="s">
        <v>1077</v>
      </c>
      <c r="Q7" s="92" t="s">
        <v>1076</v>
      </c>
      <c r="R7" s="92" t="s">
        <v>132</v>
      </c>
      <c r="S7" s="297" t="s">
        <v>1078</v>
      </c>
      <c r="T7" s="53" t="s">
        <v>4397</v>
      </c>
      <c r="U7" s="53" t="s">
        <v>35</v>
      </c>
    </row>
    <row r="8" spans="1:25">
      <c r="A8" s="20">
        <v>6</v>
      </c>
      <c r="B8" s="20" t="s">
        <v>3110</v>
      </c>
      <c r="D8" s="95" t="s">
        <v>1729</v>
      </c>
      <c r="E8" s="506" t="s">
        <v>4770</v>
      </c>
      <c r="F8" s="20" t="s">
        <v>3635</v>
      </c>
      <c r="G8" s="20" t="s">
        <v>2406</v>
      </c>
      <c r="H8" s="95" t="s">
        <v>2407</v>
      </c>
      <c r="I8" s="20" t="s">
        <v>4070</v>
      </c>
      <c r="K8" s="20" t="s">
        <v>3770</v>
      </c>
      <c r="L8" s="53" t="s">
        <v>4736</v>
      </c>
      <c r="M8" s="20" t="s">
        <v>3772</v>
      </c>
      <c r="N8" s="306" t="s">
        <v>534</v>
      </c>
      <c r="O8" s="297" t="s">
        <v>4379</v>
      </c>
      <c r="P8" s="20" t="s">
        <v>3109</v>
      </c>
      <c r="Q8" s="20" t="s">
        <v>3942</v>
      </c>
      <c r="R8" s="20" t="s">
        <v>133</v>
      </c>
      <c r="S8" s="289" t="s">
        <v>1888</v>
      </c>
      <c r="T8" s="53" t="s">
        <v>4397</v>
      </c>
      <c r="U8" s="53" t="s">
        <v>4603</v>
      </c>
    </row>
    <row r="9" spans="1:25" s="510" customFormat="1">
      <c r="A9" s="510">
        <v>7</v>
      </c>
      <c r="B9" s="510" t="s">
        <v>4775</v>
      </c>
      <c r="D9" s="523" t="s">
        <v>4825</v>
      </c>
      <c r="E9" s="510" t="s">
        <v>4826</v>
      </c>
      <c r="F9" s="510" t="s">
        <v>4827</v>
      </c>
      <c r="G9" s="510" t="s">
        <v>4828</v>
      </c>
      <c r="H9" s="523" t="s">
        <v>4829</v>
      </c>
      <c r="I9" s="510" t="s">
        <v>4830</v>
      </c>
      <c r="K9" s="510" t="s">
        <v>4831</v>
      </c>
      <c r="L9" s="510" t="s">
        <v>4832</v>
      </c>
      <c r="M9" s="510" t="s">
        <v>4833</v>
      </c>
      <c r="N9" s="526" t="s">
        <v>5471</v>
      </c>
      <c r="O9" s="510" t="s">
        <v>5187</v>
      </c>
      <c r="P9" s="510" t="s">
        <v>4834</v>
      </c>
      <c r="Q9" s="510" t="s">
        <v>4835</v>
      </c>
      <c r="R9" s="510" t="s">
        <v>4836</v>
      </c>
      <c r="S9" s="510" t="s">
        <v>4837</v>
      </c>
      <c r="T9" s="510" t="s">
        <v>4838</v>
      </c>
      <c r="U9" s="510" t="s">
        <v>4839</v>
      </c>
    </row>
    <row r="10" spans="1:25" ht="12.9">
      <c r="D10" s="95"/>
      <c r="H10" s="95"/>
      <c r="N10" s="102"/>
      <c r="S10" s="176"/>
    </row>
    <row r="11" spans="1:25" ht="12.9">
      <c r="D11" s="95"/>
      <c r="H11" s="95"/>
      <c r="N11" s="102"/>
      <c r="S11" s="176"/>
    </row>
    <row r="12" spans="1:25" ht="12.9">
      <c r="D12" s="95"/>
      <c r="H12" s="95"/>
      <c r="N12" s="102"/>
      <c r="S12" s="176"/>
    </row>
    <row r="13" spans="1:25" ht="12.9">
      <c r="D13" s="95"/>
      <c r="H13" s="95"/>
      <c r="N13" s="102"/>
      <c r="S13" s="176"/>
    </row>
    <row r="15" spans="1:25" s="145" customFormat="1">
      <c r="B15" s="145" t="s">
        <v>3190</v>
      </c>
      <c r="D15" s="145" t="str">
        <f>LOOKUP($A$1,'Lang Hull'!$A$3:$A$9,'Lang Hull'!D17:D23)</f>
        <v>メートル、㎏の単位で</v>
      </c>
      <c r="E15" s="145" t="str">
        <f>LOOKUP($A$1,'Lang Hull'!$A$3:$A$9,'Lang Hull'!E17:E23)</f>
        <v>ｍや㎏は記入しない！</v>
      </c>
      <c r="F15" s="145" t="str">
        <f>LOOKUP($A$1,'Lang Hull'!$A$3:$A$9,'Lang Hull'!F17:F23)</f>
        <v>情報元</v>
      </c>
      <c r="G15" s="145" t="str">
        <f>LOOKUP($A$1,'Lang Hull'!$A$3:$A$9,'Lang Hull'!G17:G23)</f>
        <v>必ず記載</v>
      </c>
      <c r="H15" s="145" t="str">
        <f>LOOKUP($A$1,'Lang Hull'!$A$3:$A$9,'Lang Hull'!H17:H23)</f>
        <v>Hull Length</v>
      </c>
      <c r="I15" s="145" t="str">
        <f>LOOKUP($A$1,'Lang Hull'!$A$3:$A$9,'Lang Hull'!I17:I23)</f>
        <v>Bow &amp; stern overhangs</v>
      </c>
      <c r="J15" s="145" t="str">
        <f>LOOKUP($A$1,'Lang Hull'!$A$3:$A$9,'Lang Hull'!J17:J23)</f>
        <v>x &amp; h - バウの浮きがなければ0.00を入力</v>
      </c>
      <c r="K15" s="145" t="str">
        <f>LOOKUP($A$1,'Lang Hull'!$A$3:$A$9,'Lang Hull'!K17:K23)</f>
        <v>yは常に必要</v>
      </c>
      <c r="L15" s="145" t="str">
        <f>LOOKUP($A$1,'Lang Hull'!$A$3:$A$9,'Lang Hull'!L17:L23)</f>
        <v>Waterline length</v>
      </c>
      <c r="M15" s="145" t="str">
        <f>LOOKUP($A$1,'Lang Hull'!$A$3:$A$9,'Lang Hull'!M17:M23)</f>
        <v>計算値 LH-BO-SO</v>
      </c>
      <c r="N15" s="145" t="str">
        <f>LOOKUP($A$1,'Lang Hull'!$A$3:$A$9,'Lang Hull'!N17:N23)</f>
        <v>Weight</v>
      </c>
      <c r="O15" s="145" t="str">
        <f>LOOKUP($A$1,'Lang Hull'!$A$3:$A$9,'Lang Hull'!O17:O23)</f>
        <v>Disp</v>
      </c>
      <c r="P15" s="145" t="str">
        <f>LOOKUP($A$1,'Lang Hull'!$A$3:$A$9,'Lang Hull'!P17:P23)</f>
        <v>Boat weight (kg)</v>
      </c>
      <c r="Q15" s="145" t="str">
        <f>LOOKUP($A$1,'Lang Hull'!$A$3:$A$9,'Lang Hull'!Q17:Q23)</f>
        <v>またはsailing displacement (kg)</v>
      </c>
      <c r="R15" s="145" t="str">
        <f>LOOKUP($A$1,'Lang Hull'!$A$3:$A$9,'Lang Hull'!R17:R23)</f>
        <v>Weight不明の場合</v>
      </c>
      <c r="S15" s="145" t="str">
        <f>LOOKUP($A$1,'Lang Hull'!$A$3:$A$9,'Lang Hull'!S17:S23)</f>
        <v>インナーバラスト？</v>
      </c>
      <c r="T15" s="145" t="str">
        <f>LOOKUP($A$1,'Lang Hull'!$A$3:$A$9,'Lang Hull'!T17:T23)</f>
        <v>yesなら、その重量</v>
      </c>
      <c r="U15" s="145" t="str">
        <f>LOOKUP($A$1,'Lang Hull'!$A$3:$A$9,'Lang Hull'!U17:U23)</f>
        <v>Hull Hollows：最大ビームから後方で、喫水線より上のハル断面に、ホロー（凹断面）がありますか？</v>
      </c>
      <c r="V15" s="145" t="str">
        <f>LOOKUP($A$1,'Lang Hull'!$A$3:$A$9,'Lang Hull'!V17:V23)</f>
        <v>YESなら、写真／図面を提出のこと</v>
      </c>
      <c r="W15" s="145" t="str">
        <f>LOOKUP($A$1,'Lang Hull'!$A$3:$A$9,'Lang Hull'!W17:W23)</f>
        <v>Hollows</v>
      </c>
      <c r="X15" s="145" t="str">
        <f>LOOKUP($A$1,'Lang Hull'!$A$3:$A$9,'Lang Hull'!X17:X23)</f>
        <v>Hull hollows</v>
      </c>
      <c r="Y15" s="145" t="str">
        <f>LOOKUP($A$1,'Lang Hull'!$A$3:$A$9,'Lang Hull'!Y17:Y23)</f>
        <v>キールフィン内の材料 (rule 19.6)</v>
      </c>
    </row>
    <row r="17" spans="1:25" ht="12.9">
      <c r="A17" s="20">
        <v>1</v>
      </c>
      <c r="B17" s="20" t="s">
        <v>3191</v>
      </c>
      <c r="D17" s="296" t="s">
        <v>4363</v>
      </c>
      <c r="E17" s="20" t="s">
        <v>3760</v>
      </c>
      <c r="F17" s="296" t="s">
        <v>5698</v>
      </c>
      <c r="G17" s="296" t="s">
        <v>5697</v>
      </c>
      <c r="H17" s="20" t="s">
        <v>3708</v>
      </c>
      <c r="I17" s="20" t="s">
        <v>0</v>
      </c>
      <c r="J17" s="60" t="s">
        <v>175</v>
      </c>
      <c r="K17" s="176" t="s">
        <v>900</v>
      </c>
      <c r="L17" s="20" t="s">
        <v>3215</v>
      </c>
      <c r="M17" s="20" t="s">
        <v>2757</v>
      </c>
      <c r="N17" s="95" t="s">
        <v>3791</v>
      </c>
      <c r="O17" s="95" t="s">
        <v>3793</v>
      </c>
      <c r="P17" s="20" t="s">
        <v>3158</v>
      </c>
      <c r="Q17" s="20" t="s">
        <v>3159</v>
      </c>
      <c r="R17" s="20" t="s">
        <v>1</v>
      </c>
      <c r="S17" s="121" t="s">
        <v>3794</v>
      </c>
      <c r="T17" s="102" t="s">
        <v>3795</v>
      </c>
      <c r="U17" s="533" t="s">
        <v>166</v>
      </c>
      <c r="V17" s="180" t="s">
        <v>2194</v>
      </c>
      <c r="W17" s="20" t="s">
        <v>3804</v>
      </c>
      <c r="X17" s="53" t="s">
        <v>4504</v>
      </c>
      <c r="Y17" s="53" t="s">
        <v>4390</v>
      </c>
    </row>
    <row r="18" spans="1:25" ht="12.9">
      <c r="A18" s="20">
        <v>2</v>
      </c>
      <c r="B18" s="20" t="s">
        <v>3192</v>
      </c>
      <c r="D18" s="306" t="s">
        <v>4364</v>
      </c>
      <c r="E18" s="102" t="s">
        <v>3761</v>
      </c>
      <c r="F18" s="306" t="s">
        <v>5699</v>
      </c>
      <c r="G18" s="53" t="s">
        <v>5693</v>
      </c>
      <c r="H18" s="102" t="s">
        <v>3408</v>
      </c>
      <c r="I18" s="102" t="s">
        <v>3409</v>
      </c>
      <c r="J18" s="177" t="s">
        <v>3410</v>
      </c>
      <c r="K18" s="177" t="s">
        <v>3668</v>
      </c>
      <c r="L18" s="102" t="s">
        <v>3669</v>
      </c>
      <c r="M18" s="20" t="s">
        <v>392</v>
      </c>
      <c r="N18" s="102" t="s">
        <v>3670</v>
      </c>
      <c r="O18" s="102" t="s">
        <v>3793</v>
      </c>
      <c r="P18" s="102" t="s">
        <v>3671</v>
      </c>
      <c r="Q18" s="102" t="s">
        <v>3672</v>
      </c>
      <c r="R18" s="102" t="s">
        <v>3677</v>
      </c>
      <c r="S18" s="102" t="s">
        <v>3673</v>
      </c>
      <c r="T18" s="102" t="s">
        <v>3674</v>
      </c>
      <c r="U18" s="53" t="s">
        <v>393</v>
      </c>
      <c r="V18" s="102" t="s">
        <v>3675</v>
      </c>
      <c r="W18" s="20" t="s">
        <v>24</v>
      </c>
      <c r="X18" s="306" t="s">
        <v>4381</v>
      </c>
      <c r="Y18" s="53" t="s">
        <v>5648</v>
      </c>
    </row>
    <row r="19" spans="1:25" ht="12.9">
      <c r="A19" s="20">
        <v>3</v>
      </c>
      <c r="B19" s="20" t="s">
        <v>3193</v>
      </c>
      <c r="D19" s="298" t="s">
        <v>4366</v>
      </c>
      <c r="E19" s="92" t="s">
        <v>3814</v>
      </c>
      <c r="F19" s="298" t="s">
        <v>5700</v>
      </c>
      <c r="G19" s="297" t="s">
        <v>5694</v>
      </c>
      <c r="H19" s="92" t="s">
        <v>3815</v>
      </c>
      <c r="I19" s="181" t="s">
        <v>3816</v>
      </c>
      <c r="J19" s="182" t="s">
        <v>3817</v>
      </c>
      <c r="K19" s="92" t="s">
        <v>3818</v>
      </c>
      <c r="L19" s="92" t="s">
        <v>3819</v>
      </c>
      <c r="M19" s="92" t="s">
        <v>2758</v>
      </c>
      <c r="N19" s="92" t="s">
        <v>4252</v>
      </c>
      <c r="O19" s="92" t="s">
        <v>3820</v>
      </c>
      <c r="P19" s="183" t="s">
        <v>3821</v>
      </c>
      <c r="Q19" s="178" t="s">
        <v>3822</v>
      </c>
      <c r="R19" s="183" t="s">
        <v>3823</v>
      </c>
      <c r="S19" s="92" t="s">
        <v>3824</v>
      </c>
      <c r="T19" s="92" t="s">
        <v>3825</v>
      </c>
      <c r="U19" s="297" t="s">
        <v>699</v>
      </c>
      <c r="V19" s="92" t="s">
        <v>701</v>
      </c>
      <c r="W19" s="92" t="s">
        <v>25</v>
      </c>
      <c r="X19" s="297" t="s">
        <v>4382</v>
      </c>
      <c r="Y19" s="297" t="s">
        <v>5649</v>
      </c>
    </row>
    <row r="20" spans="1:25" ht="12.9">
      <c r="A20" s="20">
        <v>4</v>
      </c>
      <c r="B20" s="20" t="s">
        <v>3194</v>
      </c>
      <c r="D20" s="95"/>
      <c r="F20" s="95"/>
      <c r="I20" s="60"/>
      <c r="J20" s="176"/>
      <c r="P20" s="121"/>
      <c r="Q20" s="102"/>
      <c r="R20" s="121"/>
    </row>
    <row r="21" spans="1:25" ht="12.9">
      <c r="A21" s="20">
        <v>5</v>
      </c>
      <c r="B21" s="20" t="s">
        <v>3195</v>
      </c>
      <c r="D21" s="298" t="s">
        <v>4365</v>
      </c>
      <c r="E21" s="92" t="s">
        <v>9</v>
      </c>
      <c r="F21" s="298" t="s">
        <v>5701</v>
      </c>
      <c r="G21" s="297" t="s">
        <v>5695</v>
      </c>
      <c r="H21" s="92" t="s">
        <v>10</v>
      </c>
      <c r="I21" s="181" t="s">
        <v>11</v>
      </c>
      <c r="J21" s="182" t="s">
        <v>12</v>
      </c>
      <c r="K21" s="92" t="s">
        <v>13</v>
      </c>
      <c r="L21" s="92" t="s">
        <v>4251</v>
      </c>
      <c r="M21" s="92" t="s">
        <v>2759</v>
      </c>
      <c r="N21" s="92" t="s">
        <v>4252</v>
      </c>
      <c r="O21" s="92" t="s">
        <v>4253</v>
      </c>
      <c r="P21" s="183" t="s">
        <v>4254</v>
      </c>
      <c r="Q21" s="178" t="s">
        <v>4255</v>
      </c>
      <c r="R21" s="183" t="s">
        <v>4256</v>
      </c>
      <c r="S21" s="92" t="s">
        <v>1850</v>
      </c>
      <c r="T21" s="92" t="s">
        <v>1851</v>
      </c>
      <c r="U21" s="297" t="s">
        <v>1852</v>
      </c>
      <c r="V21" s="92" t="s">
        <v>2697</v>
      </c>
      <c r="W21" s="92" t="s">
        <v>26</v>
      </c>
      <c r="X21" s="297" t="s">
        <v>4383</v>
      </c>
      <c r="Y21" s="53" t="s">
        <v>5650</v>
      </c>
    </row>
    <row r="22" spans="1:25" ht="12.9">
      <c r="A22" s="20">
        <v>6</v>
      </c>
      <c r="B22" s="20" t="s">
        <v>3110</v>
      </c>
      <c r="D22" s="95" t="s">
        <v>3111</v>
      </c>
      <c r="E22" s="20" t="s">
        <v>3112</v>
      </c>
      <c r="F22" s="95" t="s">
        <v>3113</v>
      </c>
      <c r="G22" s="95" t="s">
        <v>3114</v>
      </c>
      <c r="H22" s="20" t="s">
        <v>3708</v>
      </c>
      <c r="I22" s="20" t="s">
        <v>0</v>
      </c>
      <c r="J22" s="60" t="s">
        <v>1506</v>
      </c>
      <c r="K22" s="176" t="s">
        <v>1507</v>
      </c>
      <c r="L22" s="20" t="s">
        <v>3215</v>
      </c>
      <c r="M22" s="20" t="s">
        <v>898</v>
      </c>
      <c r="N22" s="95" t="s">
        <v>3791</v>
      </c>
      <c r="O22" s="95" t="s">
        <v>3793</v>
      </c>
      <c r="P22" s="20" t="s">
        <v>3158</v>
      </c>
      <c r="Q22" s="20" t="s">
        <v>899</v>
      </c>
      <c r="R22" s="20" t="s">
        <v>1508</v>
      </c>
      <c r="S22" s="121" t="s">
        <v>3115</v>
      </c>
      <c r="T22" s="102" t="s">
        <v>1509</v>
      </c>
      <c r="U22" s="179" t="s">
        <v>1510</v>
      </c>
      <c r="V22" s="180" t="s">
        <v>1511</v>
      </c>
      <c r="W22" s="20" t="s">
        <v>3804</v>
      </c>
      <c r="X22" s="53" t="s">
        <v>4380</v>
      </c>
      <c r="Y22" s="53" t="s">
        <v>4391</v>
      </c>
    </row>
    <row r="23" spans="1:25" s="510" customFormat="1">
      <c r="A23" s="510">
        <v>7</v>
      </c>
      <c r="B23" s="510" t="s">
        <v>4775</v>
      </c>
      <c r="D23" s="523" t="s">
        <v>4840</v>
      </c>
      <c r="E23" s="510" t="s">
        <v>4841</v>
      </c>
      <c r="F23" s="523" t="s">
        <v>5702</v>
      </c>
      <c r="G23" s="510" t="s">
        <v>5696</v>
      </c>
      <c r="H23" s="510" t="s">
        <v>4842</v>
      </c>
      <c r="I23" s="523" t="s">
        <v>4843</v>
      </c>
      <c r="J23" s="510" t="s">
        <v>4844</v>
      </c>
      <c r="K23" s="510" t="s">
        <v>4845</v>
      </c>
      <c r="L23" s="510" t="s">
        <v>4846</v>
      </c>
      <c r="M23" s="510" t="s">
        <v>4847</v>
      </c>
      <c r="N23" s="510" t="s">
        <v>4252</v>
      </c>
      <c r="O23" s="510" t="s">
        <v>4848</v>
      </c>
      <c r="P23" s="525" t="s">
        <v>4849</v>
      </c>
      <c r="Q23" s="526" t="s">
        <v>4850</v>
      </c>
      <c r="R23" s="525" t="s">
        <v>4851</v>
      </c>
      <c r="S23" s="510" t="s">
        <v>4852</v>
      </c>
      <c r="T23" s="510" t="s">
        <v>4853</v>
      </c>
      <c r="U23" s="510" t="s">
        <v>4854</v>
      </c>
      <c r="V23" s="510" t="s">
        <v>4855</v>
      </c>
      <c r="W23" s="510" t="s">
        <v>4856</v>
      </c>
      <c r="X23" s="510" t="s">
        <v>4857</v>
      </c>
      <c r="Y23" s="510" t="s">
        <v>4858</v>
      </c>
    </row>
    <row r="24" spans="1:25" ht="12.9">
      <c r="D24" s="95"/>
      <c r="F24" s="95"/>
      <c r="I24" s="60"/>
      <c r="J24" s="176"/>
      <c r="P24" s="121"/>
      <c r="Q24" s="102"/>
      <c r="R24" s="121"/>
    </row>
    <row r="25" spans="1:25" ht="12.9">
      <c r="D25" s="95"/>
      <c r="F25" s="95"/>
      <c r="I25" s="60"/>
      <c r="J25" s="176"/>
      <c r="P25" s="121"/>
      <c r="Q25" s="102"/>
      <c r="R25" s="121"/>
    </row>
    <row r="26" spans="1:25" ht="12.9">
      <c r="D26" s="95"/>
      <c r="F26" s="95"/>
      <c r="I26" s="60"/>
      <c r="J26" s="176"/>
      <c r="P26" s="121"/>
      <c r="Q26" s="102"/>
      <c r="R26" s="121"/>
    </row>
    <row r="28" spans="1:25" s="145" customFormat="1">
      <c r="B28" s="145" t="s">
        <v>3190</v>
      </c>
      <c r="D28" s="145" t="str">
        <f>LOOKUP($A$1,'Lang Hull'!$A$3:$A$9,'Lang Hull'!D30:D36)</f>
        <v>Hull beam</v>
      </c>
      <c r="E28" s="145" t="str">
        <f>LOOKUP($A$1,'Lang Hull'!$A$3:$A$9,'Lang Hull'!E30:E36)</f>
        <v xml:space="preserve">Draft   </v>
      </c>
      <c r="F28" s="145" t="str">
        <f>LOOKUP($A$1,'Lang Hull'!$A$3:$A$9,'Lang Hull'!F30:F36)</f>
        <v>Min</v>
      </c>
      <c r="G28" s="145" t="str">
        <f>LOOKUP($A$1,'Lang Hull'!$A$3:$A$9,'Lang Hull'!G30:G36)</f>
        <v>*もしdrop/lifting keel/boardなら、下げて固定する</v>
      </c>
      <c r="H28" s="145" t="str">
        <f>LOOKUP($A$1,'Lang Hull'!$A$3:$A$9,'Lang Hull'!H30:H36)</f>
        <v xml:space="preserve">Wing keel - Span - </v>
      </c>
      <c r="I28" s="145" t="str">
        <f>LOOKUP($A$1,'Lang Hull'!$A$3:$A$9,'Lang Hull'!I30:I36)</f>
        <v xml:space="preserve">Span - </v>
      </c>
      <c r="J28" s="145" t="str">
        <f>LOOKUP($A$1,'Lang Hull'!$A$3:$A$9,'Lang Hull'!J30:J36)</f>
        <v>wings/wingletsにのみ適用、バルブキールには不適用</v>
      </c>
      <c r="K28" s="145" t="str">
        <f>LOOKUP($A$1,'Lang Hull'!$A$3:$A$9,'Lang Hull'!K30:K36)</f>
        <v>Keel fin material</v>
      </c>
      <c r="L28" s="145" t="str">
        <f>LOOKUP($A$1,'Lang Hull'!$A$3:$A$9,'Lang Hull'!L30:L36)</f>
        <v>フェアリング定義はIRC keelsシートを参照</v>
      </c>
      <c r="M28" s="145" t="str">
        <f>LOOKUP($A$1,'Lang Hull'!$A$3:$A$9,'Lang Hull'!M30:M36)</f>
        <v>Bulb/wing material</v>
      </c>
      <c r="N28" s="145" t="str">
        <f>LOOKUP($A$1,'Lang Hull'!$A$3:$A$9,'Lang Hull'!N30:N36)</f>
        <v>Bulb Weight</v>
      </c>
      <c r="O28" s="145" t="str">
        <f>LOOKUP($A$1,'Lang Hull'!$A$3:$A$9,'Lang Hull'!O30:O36)</f>
        <v>kg. 　キール全体の重量ではない</v>
      </c>
      <c r="P28" s="145" t="str">
        <f>LOOKUP($A$1,'Lang Hull'!$A$3:$A$9,'Lang Hull'!P30:P36)</f>
        <v>other'の場合</v>
      </c>
      <c r="Q28" s="145" t="str">
        <f>LOOKUP($A$1,'Lang Hull'!$A$3:$A$9,'Lang Hull'!Q30:Q36)</f>
        <v>ウォーターバラストを備えている？</v>
      </c>
      <c r="R28" s="145" t="str">
        <f>LOOKUP($A$1,'Lang Hull'!$A$3:$A$9,'Lang Hull'!R30:R36)</f>
        <v>片舷最大搭載水量（リットル）</v>
      </c>
      <c r="S28" s="145" t="str">
        <f>LOOKUP($A$1,'Lang Hull'!$A$3:$A$9,'Lang Hull'!S30:S36)</f>
        <v>ハンドポンプ以外に（バラスト水移動用）、機械式ポンプを備えていますか？</v>
      </c>
      <c r="T28" s="145" t="str">
        <f>LOOKUP($A$1,'Lang Hull'!$A$3:$A$9,'Lang Hull'!T30:T36)</f>
        <v>カンティング／可動バラストでの最大ヒール角―バラストを片舷に最大使用時（ウォーターバラスト以外）</v>
      </c>
      <c r="U28" s="145" t="str">
        <f>LOOKUP($A$1,'Lang Hull'!$A$3:$A$9,'Lang Hull'!U30:U36)</f>
        <v>ウォーターバラスト以外</v>
      </c>
      <c r="V28" s="145" t="str">
        <f>LOOKUP($A$1,'Lang Hull'!$A$3:$A$9,'Lang Hull'!V30:V36)</f>
        <v>(degrees)</v>
      </c>
      <c r="W28" s="145" t="str">
        <f>LOOKUP($A$1,'Lang Hull'!$A$3:$A$9,'Lang Hull'!W30:W36)</f>
        <v>Beam</v>
      </c>
      <c r="X28" s="145" t="str">
        <f>LOOKUP($A$1,'Lang Hull'!$A$3:$A$9,'Lang Hull'!X30:X36)</f>
        <v>キールフィン内の材料。(IIRC Rule 19.6)</v>
      </c>
      <c r="Y28" s="145" t="str">
        <f>LOOKUP($A$1,'Lang Hull'!$A$3:$A$9,'Lang Hull'!Y30:Y36)</f>
        <v>規則19.6が2017年で加わり、キールタイプ10,11および12で、キールフィン内に挿入されている材料が比重9.0（鉛等）を越えるものについて、書面により申告しなければならない。</v>
      </c>
    </row>
    <row r="30" spans="1:25">
      <c r="A30" s="20">
        <v>1</v>
      </c>
      <c r="B30" s="20" t="s">
        <v>3191</v>
      </c>
      <c r="D30" s="20" t="s">
        <v>3216</v>
      </c>
      <c r="E30" s="20" t="s">
        <v>2259</v>
      </c>
      <c r="F30" s="296" t="s">
        <v>4368</v>
      </c>
      <c r="G30" s="95" t="s">
        <v>901</v>
      </c>
      <c r="H30" s="53" t="s">
        <v>2699</v>
      </c>
      <c r="I30" s="22" t="s">
        <v>2698</v>
      </c>
      <c r="J30" s="53" t="s">
        <v>1515</v>
      </c>
      <c r="K30" s="18" t="s">
        <v>4499</v>
      </c>
      <c r="L30" s="306" t="s">
        <v>4494</v>
      </c>
      <c r="M30" s="121" t="s">
        <v>2257</v>
      </c>
      <c r="N30" s="306" t="s">
        <v>1546</v>
      </c>
      <c r="O30" s="53" t="s">
        <v>4302</v>
      </c>
      <c r="P30" s="306" t="s">
        <v>4726</v>
      </c>
      <c r="Q30" s="18" t="s">
        <v>4525</v>
      </c>
      <c r="R30" s="18" t="s">
        <v>4728</v>
      </c>
      <c r="S30" s="121" t="s">
        <v>360</v>
      </c>
      <c r="T30" s="53" t="s">
        <v>4730</v>
      </c>
      <c r="U30" s="20" t="s">
        <v>1911</v>
      </c>
      <c r="V30" s="20" t="s">
        <v>361</v>
      </c>
      <c r="W30" s="20" t="s">
        <v>3797</v>
      </c>
      <c r="X30" s="53" t="s">
        <v>4399</v>
      </c>
      <c r="Y30" s="53" t="s">
        <v>4325</v>
      </c>
    </row>
    <row r="31" spans="1:25">
      <c r="A31" s="20">
        <v>2</v>
      </c>
      <c r="B31" s="20" t="s">
        <v>3192</v>
      </c>
      <c r="D31" s="102" t="s">
        <v>2110</v>
      </c>
      <c r="E31" s="20" t="s">
        <v>394</v>
      </c>
      <c r="F31" s="296" t="s">
        <v>4368</v>
      </c>
      <c r="G31" s="102" t="s">
        <v>1861</v>
      </c>
      <c r="H31" s="102" t="s">
        <v>2700</v>
      </c>
      <c r="I31" s="102" t="s">
        <v>3762</v>
      </c>
      <c r="J31" s="20" t="s">
        <v>395</v>
      </c>
      <c r="K31" s="306" t="s">
        <v>4500</v>
      </c>
      <c r="L31" s="53" t="s">
        <v>4495</v>
      </c>
      <c r="M31" s="102" t="s">
        <v>1862</v>
      </c>
      <c r="N31" s="102" t="s">
        <v>1863</v>
      </c>
      <c r="O31" s="53" t="s">
        <v>4303</v>
      </c>
      <c r="P31" s="306" t="s">
        <v>4375</v>
      </c>
      <c r="Q31" s="102" t="s">
        <v>3763</v>
      </c>
      <c r="R31" s="496" t="s">
        <v>4748</v>
      </c>
      <c r="S31" s="102" t="s">
        <v>4165</v>
      </c>
      <c r="T31" s="306" t="s">
        <v>4731</v>
      </c>
      <c r="U31" s="102" t="s">
        <v>3213</v>
      </c>
      <c r="V31" s="102" t="s">
        <v>4164</v>
      </c>
      <c r="W31" s="20" t="s">
        <v>2126</v>
      </c>
      <c r="X31" s="306" t="s">
        <v>4400</v>
      </c>
      <c r="Y31" s="306" t="s">
        <v>4326</v>
      </c>
    </row>
    <row r="32" spans="1:25">
      <c r="A32" s="20">
        <v>3</v>
      </c>
      <c r="B32" s="20" t="s">
        <v>3193</v>
      </c>
      <c r="D32" s="92" t="s">
        <v>702</v>
      </c>
      <c r="E32" s="92" t="s">
        <v>703</v>
      </c>
      <c r="F32" s="296" t="s">
        <v>4368</v>
      </c>
      <c r="G32" s="83" t="s">
        <v>704</v>
      </c>
      <c r="H32" s="92" t="s">
        <v>2701</v>
      </c>
      <c r="I32" s="85" t="s">
        <v>705</v>
      </c>
      <c r="J32" s="183" t="s">
        <v>706</v>
      </c>
      <c r="K32" s="178" t="s">
        <v>3900</v>
      </c>
      <c r="L32" s="403" t="s">
        <v>4496</v>
      </c>
      <c r="M32" s="178" t="s">
        <v>3905</v>
      </c>
      <c r="N32" s="92" t="s">
        <v>1859</v>
      </c>
      <c r="O32" s="345" t="s">
        <v>4304</v>
      </c>
      <c r="P32" s="403" t="s">
        <v>4377</v>
      </c>
      <c r="Q32" s="183" t="s">
        <v>2104</v>
      </c>
      <c r="R32" s="496" t="s">
        <v>4749</v>
      </c>
      <c r="S32" s="92" t="s">
        <v>2105</v>
      </c>
      <c r="T32" s="297" t="s">
        <v>4732</v>
      </c>
      <c r="U32" s="92" t="s">
        <v>2439</v>
      </c>
      <c r="V32" s="92" t="s">
        <v>2106</v>
      </c>
      <c r="W32" s="20" t="s">
        <v>2127</v>
      </c>
      <c r="X32" s="297" t="s">
        <v>4402</v>
      </c>
      <c r="Y32" s="297" t="s">
        <v>4327</v>
      </c>
    </row>
    <row r="33" spans="1:26">
      <c r="A33" s="20">
        <v>4</v>
      </c>
      <c r="B33" s="20" t="s">
        <v>3194</v>
      </c>
      <c r="F33" s="296" t="s">
        <v>4368</v>
      </c>
      <c r="G33" s="95"/>
      <c r="I33" s="22"/>
      <c r="J33" s="121"/>
      <c r="K33" s="102"/>
      <c r="L33" s="121"/>
      <c r="M33" s="102"/>
      <c r="O33" s="102"/>
      <c r="P33" s="121"/>
      <c r="Q33" s="121"/>
      <c r="R33" s="18"/>
    </row>
    <row r="34" spans="1:26">
      <c r="A34" s="20">
        <v>5</v>
      </c>
      <c r="B34" s="20" t="s">
        <v>3195</v>
      </c>
      <c r="D34" s="92" t="s">
        <v>1853</v>
      </c>
      <c r="E34" s="92" t="s">
        <v>1854</v>
      </c>
      <c r="F34" s="296" t="s">
        <v>4368</v>
      </c>
      <c r="G34" s="83" t="s">
        <v>1855</v>
      </c>
      <c r="H34" s="92" t="s">
        <v>2702</v>
      </c>
      <c r="I34" s="85" t="s">
        <v>1856</v>
      </c>
      <c r="J34" s="183" t="s">
        <v>1857</v>
      </c>
      <c r="K34" s="345" t="s">
        <v>4501</v>
      </c>
      <c r="L34" s="403" t="s">
        <v>4497</v>
      </c>
      <c r="M34" s="178" t="s">
        <v>1858</v>
      </c>
      <c r="N34" s="92" t="s">
        <v>1859</v>
      </c>
      <c r="O34" s="345" t="s">
        <v>4305</v>
      </c>
      <c r="P34" s="403" t="s">
        <v>4376</v>
      </c>
      <c r="Q34" s="183" t="s">
        <v>1860</v>
      </c>
      <c r="R34" s="496" t="s">
        <v>4750</v>
      </c>
      <c r="S34" s="92" t="s">
        <v>2676</v>
      </c>
      <c r="T34" s="297" t="s">
        <v>4733</v>
      </c>
      <c r="U34" s="92" t="s">
        <v>4236</v>
      </c>
      <c r="V34" s="92" t="s">
        <v>2677</v>
      </c>
      <c r="W34" s="20" t="s">
        <v>2128</v>
      </c>
      <c r="X34" s="297" t="s">
        <v>4401</v>
      </c>
      <c r="Y34" s="297" t="s">
        <v>4328</v>
      </c>
    </row>
    <row r="35" spans="1:26" ht="13.75">
      <c r="A35" s="20">
        <v>6</v>
      </c>
      <c r="B35" s="20" t="s">
        <v>3110</v>
      </c>
      <c r="D35" s="20" t="s">
        <v>3216</v>
      </c>
      <c r="E35" s="20" t="s">
        <v>2259</v>
      </c>
      <c r="F35" s="296" t="s">
        <v>4368</v>
      </c>
      <c r="G35" s="95" t="s">
        <v>1512</v>
      </c>
      <c r="H35" s="20" t="s">
        <v>2699</v>
      </c>
      <c r="I35" s="22" t="s">
        <v>2698</v>
      </c>
      <c r="J35" s="20" t="s">
        <v>1513</v>
      </c>
      <c r="K35" s="18" t="s">
        <v>4499</v>
      </c>
      <c r="L35" s="306" t="s">
        <v>4498</v>
      </c>
      <c r="M35" s="121" t="s">
        <v>2257</v>
      </c>
      <c r="N35" s="306" t="s">
        <v>1546</v>
      </c>
      <c r="O35" s="20" t="s">
        <v>3116</v>
      </c>
      <c r="P35" s="184" t="s">
        <v>1514</v>
      </c>
      <c r="Q35" s="20" t="s">
        <v>3117</v>
      </c>
      <c r="R35" s="497" t="s">
        <v>4751</v>
      </c>
      <c r="S35" s="121" t="s">
        <v>3118</v>
      </c>
      <c r="T35" s="20" t="s">
        <v>3119</v>
      </c>
      <c r="U35" s="20" t="s">
        <v>3120</v>
      </c>
      <c r="V35" s="20" t="s">
        <v>361</v>
      </c>
      <c r="W35" s="20" t="s">
        <v>3797</v>
      </c>
      <c r="X35" s="347" t="s">
        <v>4403</v>
      </c>
      <c r="Y35" s="347" t="s">
        <v>4313</v>
      </c>
    </row>
    <row r="36" spans="1:26" s="510" customFormat="1">
      <c r="A36" s="510">
        <v>7</v>
      </c>
      <c r="B36" s="510" t="s">
        <v>4775</v>
      </c>
      <c r="D36" s="510" t="s">
        <v>4859</v>
      </c>
      <c r="E36" s="510" t="s">
        <v>1854</v>
      </c>
      <c r="F36" s="523" t="s">
        <v>4368</v>
      </c>
      <c r="G36" s="523" t="s">
        <v>4860</v>
      </c>
      <c r="H36" s="510" t="s">
        <v>4861</v>
      </c>
      <c r="I36" s="524" t="s">
        <v>1856</v>
      </c>
      <c r="J36" s="525" t="s">
        <v>4862</v>
      </c>
      <c r="K36" s="526" t="s">
        <v>4863</v>
      </c>
      <c r="L36" s="525" t="s">
        <v>4864</v>
      </c>
      <c r="M36" s="526" t="s">
        <v>4865</v>
      </c>
      <c r="N36" s="510" t="s">
        <v>4866</v>
      </c>
      <c r="O36" s="526" t="s">
        <v>4867</v>
      </c>
      <c r="P36" s="525" t="s">
        <v>4868</v>
      </c>
      <c r="Q36" s="525" t="s">
        <v>4869</v>
      </c>
      <c r="R36" s="525" t="s">
        <v>4870</v>
      </c>
      <c r="S36" s="510" t="s">
        <v>4871</v>
      </c>
      <c r="T36" s="510" t="s">
        <v>4873</v>
      </c>
      <c r="U36" s="510" t="s">
        <v>4874</v>
      </c>
      <c r="V36" s="510" t="s">
        <v>4875</v>
      </c>
      <c r="W36" s="510" t="s">
        <v>4876</v>
      </c>
      <c r="X36" s="510" t="s">
        <v>4877</v>
      </c>
      <c r="Y36" s="510" t="s">
        <v>4878</v>
      </c>
    </row>
    <row r="37" spans="1:26">
      <c r="F37" s="95"/>
      <c r="G37" s="95"/>
      <c r="I37" s="22"/>
      <c r="J37" s="121"/>
      <c r="K37" s="102"/>
      <c r="L37" s="121"/>
      <c r="M37" s="102"/>
      <c r="O37" s="102"/>
      <c r="P37" s="121"/>
      <c r="Q37" s="121"/>
      <c r="R37" s="121"/>
    </row>
    <row r="38" spans="1:26" s="145" customFormat="1">
      <c r="B38" s="145" t="s">
        <v>3190</v>
      </c>
      <c r="D38" s="145" t="str">
        <f>LOOKUP($A$1,'Lang Hull'!$A$3:$A$9,'Lang Hull'!D40:D46)</f>
        <v>上のキールタイプ項目でCanting Keelを選択していること</v>
      </c>
      <c r="E38" s="145">
        <f>LOOKUP($A$1,'Lang Hull'!$A$3:$A$9,'Lang Hull'!E40:E46)</f>
        <v>0</v>
      </c>
      <c r="F38" s="145" t="str">
        <f>LOOKUP($A$1,'Lang Hull'!$A$3:$A$9,'Lang Hull'!F40:F46)</f>
        <v>キール形状番号を選択する（a, bなどは無視する）</v>
      </c>
      <c r="G38" s="145" t="str">
        <f>LOOKUP($A$1,'Lang Hull'!$A$3:$A$9,'Lang Hull'!G40:G46)</f>
        <v>注：ほとんどのプロダクションボートはフェアフォーム</v>
      </c>
      <c r="H38" s="145" t="str">
        <f>LOOKUP($A$1,'Lang Hull'!$A$3:$A$9,'Lang Hull'!H40:H46)</f>
        <v>HULL and APPENDAGES</v>
      </c>
      <c r="I38" s="145" t="str">
        <f>LOOKUP($A$1,'Lang Hull'!$A$3:$A$9,'Lang Hull'!I40:I46)</f>
        <v>スタンダードハルデータを持つプロダクションボートの場合：正しいバージョンを適用させるために、キールの形式と形状および喫水値を確認下さい</v>
      </c>
      <c r="J38" s="145" t="str">
        <f>LOOKUP($A$1,'Lang Hull'!$A$3:$A$9,'Lang Hull'!J40:J46)</f>
        <v>*ワンデザインクラスボートの場合、ＩＲＣワンデザイン証書の発行が可能です*</v>
      </c>
      <c r="K38" s="145" t="str">
        <f>LOOKUP($A$1,'Lang Hull'!$A$3:$A$9,'Lang Hull'!K40:K46)</f>
        <v>スタンダードハルの有無は、下のリストでチェックできます：</v>
      </c>
      <c r="L38" s="145" t="str">
        <f>LOOKUP($A$1,'Lang Hull'!$A$3:$A$9,'Lang Hull'!L40:L46)</f>
        <v>*プロダクションスタンダードハルデータは下を参照</v>
      </c>
      <c r="M38" s="145" t="str">
        <f>LOOKUP($A$1,'Lang Hull'!$A$3:$A$9,'Lang Hull'!M40:M46)</f>
        <v>If your design is not included but you think it should be, please contact your Rule Authority</v>
      </c>
      <c r="N38" s="145" t="str">
        <f>LOOKUP($A$1,'Lang Hull'!$A$3:$A$9,'Lang Hull'!N40:N46)</f>
        <v>ビルダー/デザイナーを選ぶ, 最初にボックスをクリック：</v>
      </c>
      <c r="O38" s="145" t="str">
        <f>LOOKUP($A$1,'Lang Hull'!$A$3:$A$9,'Lang Hull'!O40:O46)</f>
        <v>モデル/喫水を選ぶ；最初にボックスをクリック：</v>
      </c>
      <c r="P38" s="145" t="str">
        <f>LOOKUP($A$1,'Lang Hull'!$A$3:$A$9,'Lang Hull'!P40:P46)</f>
        <v>デザインがスタンダードリストにあった場合、スタンダードハルデータを使いますか？</v>
      </c>
      <c r="Q38" s="145" t="str">
        <f>LOOKUP($A$1,'Lang Hull'!$A$3:$A$9,'Lang Hull'!Q40:Q46)</f>
        <v>YESの場合：以下の項目で、グレーのセルは記入不要です。それ以外の項目は全て記入して下さい。</v>
      </c>
      <c r="R38" s="145" t="str">
        <f>LOOKUP($A$1,'Lang Hull'!$A$3:$A$9,'Lang Hull'!R40:R46)</f>
        <v>NOの場合：通常通り申告して下さい。スタンダードデータを、特定のハル計測値に使いたい場合、該当する"情報元"欄に"use standard"と記入して下さい。</v>
      </c>
      <c r="S38" s="145" t="str">
        <f>LOOKUP($A$1,'Lang Hull'!$A$3:$A$9,'Lang Hull'!S40:S46)</f>
        <v>Production Boats</v>
      </c>
      <c r="T38" s="145" t="str">
        <f>LOOKUP($A$1,'Lang Hull'!$A$3:$A$9,'Lang Hull'!T40:T46)</f>
        <v>ここをクリックして、右の矢印を使う</v>
      </c>
      <c r="U38" s="145" t="str">
        <f>LOOKUP($A$1,'Lang Hull'!$A$3:$A$9,'Lang Hull'!U40:U46)</f>
        <v>Water/variable ballast</v>
      </c>
      <c r="V38" s="145" t="str">
        <f>LOOKUP($A$1,'Lang Hull'!$A$3:$A$9,'Lang Hull'!V40:V46)</f>
        <v>Canting/movable ballast</v>
      </c>
      <c r="W38" s="145" t="str">
        <f>LOOKUP($A$1,'Lang Hull'!$A$3:$A$9,'Lang Hull'!W40:W46)</f>
        <v>リフトを発生するフォイル</v>
      </c>
      <c r="X38" s="145" t="str">
        <f>LOOKUP($A$1,'Lang Hull'!$A$3:$A$9,'Lang Hull'!X40:X46)</f>
        <v>リフトを発生するフォイルを備えていますか？</v>
      </c>
      <c r="Y38" s="145" t="str">
        <f>LOOKUP($A$1,'Lang Hull'!$A$3:$A$9,'Lang Hull'!Y40:Y46)</f>
        <v>If yes, the Rating Authority will contact you for more information and measurements</v>
      </c>
      <c r="Z38" s="145" t="str">
        <f>LOOKUP($A$1,'Lang Hull'!$A$3:$A$9,'Lang Hull'!Z40:Z46)</f>
        <v>下に傾斜角を記載下さい。不明の場合はIRCにより予想値が計算されます。</v>
      </c>
    </row>
    <row r="39" spans="1:26">
      <c r="F39" s="95"/>
      <c r="G39" s="95"/>
      <c r="I39" s="22"/>
      <c r="J39" s="121"/>
      <c r="K39" s="102"/>
      <c r="L39" s="121"/>
      <c r="M39" s="102"/>
      <c r="O39" s="102"/>
      <c r="P39" s="121"/>
      <c r="Q39" s="121"/>
      <c r="R39" s="121"/>
    </row>
    <row r="40" spans="1:26" ht="15.9">
      <c r="A40" s="20">
        <v>1</v>
      </c>
      <c r="B40" s="20" t="s">
        <v>3191</v>
      </c>
      <c r="D40" s="20" t="s">
        <v>3752</v>
      </c>
      <c r="E40" s="200" t="s">
        <v>4068</v>
      </c>
      <c r="F40" s="53" t="s">
        <v>4502</v>
      </c>
      <c r="G40" s="53" t="s">
        <v>4371</v>
      </c>
      <c r="H40" s="20" t="s">
        <v>829</v>
      </c>
      <c r="I40" s="20" t="s">
        <v>359</v>
      </c>
      <c r="J40" s="20" t="s">
        <v>3222</v>
      </c>
      <c r="K40" s="20" t="s">
        <v>2192</v>
      </c>
      <c r="L40" s="20" t="s">
        <v>2285</v>
      </c>
      <c r="M40" s="20" t="s">
        <v>3288</v>
      </c>
      <c r="N40" s="53" t="s">
        <v>4349</v>
      </c>
      <c r="O40" s="53" t="s">
        <v>2290</v>
      </c>
      <c r="P40" s="20" t="s">
        <v>2191</v>
      </c>
      <c r="Q40" s="20" t="s">
        <v>3092</v>
      </c>
      <c r="R40" s="20" t="s">
        <v>2284</v>
      </c>
      <c r="S40" s="20" t="s">
        <v>650</v>
      </c>
      <c r="T40" s="20" t="s">
        <v>1447</v>
      </c>
      <c r="U40" s="53" t="s">
        <v>4392</v>
      </c>
      <c r="V40" s="53" t="s">
        <v>4384</v>
      </c>
      <c r="W40" s="53" t="s">
        <v>4520</v>
      </c>
      <c r="X40" s="53" t="s">
        <v>4521</v>
      </c>
      <c r="Y40" s="53" t="s">
        <v>4523</v>
      </c>
      <c r="Z40" s="53" t="s">
        <v>5415</v>
      </c>
    </row>
    <row r="41" spans="1:26">
      <c r="A41" s="20">
        <v>2</v>
      </c>
      <c r="B41" s="20" t="s">
        <v>3192</v>
      </c>
      <c r="D41" s="20" t="s">
        <v>858</v>
      </c>
      <c r="F41" s="20" t="s">
        <v>1867</v>
      </c>
      <c r="G41" s="53" t="s">
        <v>4372</v>
      </c>
      <c r="H41" s="20" t="s">
        <v>1869</v>
      </c>
      <c r="I41" s="20" t="s">
        <v>1870</v>
      </c>
      <c r="J41" s="20" t="s">
        <v>3463</v>
      </c>
      <c r="K41" s="20" t="s">
        <v>1872</v>
      </c>
      <c r="M41" s="20" t="s">
        <v>184</v>
      </c>
      <c r="N41" s="53" t="s">
        <v>4350</v>
      </c>
      <c r="O41" s="53" t="s">
        <v>1873</v>
      </c>
      <c r="P41" s="20" t="s">
        <v>1875</v>
      </c>
      <c r="Q41" s="20" t="s">
        <v>1876</v>
      </c>
      <c r="R41" s="20" t="s">
        <v>1877</v>
      </c>
      <c r="S41" s="217" t="s">
        <v>650</v>
      </c>
      <c r="T41" s="20" t="s">
        <v>1874</v>
      </c>
      <c r="U41" s="53" t="s">
        <v>4393</v>
      </c>
      <c r="V41" s="53" t="s">
        <v>4385</v>
      </c>
      <c r="W41" s="53" t="s">
        <v>4607</v>
      </c>
      <c r="X41" s="53" t="s">
        <v>4612</v>
      </c>
      <c r="Y41" s="53" t="s">
        <v>4565</v>
      </c>
      <c r="Z41" t="s">
        <v>5446</v>
      </c>
    </row>
    <row r="42" spans="1:26">
      <c r="A42" s="20">
        <v>3</v>
      </c>
      <c r="B42" s="20" t="s">
        <v>3193</v>
      </c>
      <c r="D42" s="20" t="s">
        <v>108</v>
      </c>
      <c r="F42" s="20" t="s">
        <v>1881</v>
      </c>
      <c r="G42" s="53" t="s">
        <v>4373</v>
      </c>
      <c r="H42" s="20" t="s">
        <v>1883</v>
      </c>
      <c r="I42" s="20" t="s">
        <v>2932</v>
      </c>
      <c r="J42" s="20" t="s">
        <v>3462</v>
      </c>
      <c r="K42" s="20" t="s">
        <v>1090</v>
      </c>
      <c r="M42" s="20" t="s">
        <v>185</v>
      </c>
      <c r="N42" s="53" t="s">
        <v>4351</v>
      </c>
      <c r="O42" s="53" t="s">
        <v>1091</v>
      </c>
      <c r="P42" s="20" t="s">
        <v>3455</v>
      </c>
      <c r="Q42" s="20" t="s">
        <v>3456</v>
      </c>
      <c r="R42" s="20" t="s">
        <v>3457</v>
      </c>
      <c r="S42" s="217" t="s">
        <v>650</v>
      </c>
      <c r="T42" s="20" t="s">
        <v>3454</v>
      </c>
      <c r="U42" s="53" t="s">
        <v>4394</v>
      </c>
      <c r="V42" s="53" t="s">
        <v>4386</v>
      </c>
      <c r="W42" s="53" t="s">
        <v>4608</v>
      </c>
      <c r="X42" s="53" t="s">
        <v>4611</v>
      </c>
      <c r="Y42" s="53" t="s">
        <v>4566</v>
      </c>
      <c r="Z42" t="s">
        <v>5447</v>
      </c>
    </row>
    <row r="43" spans="1:26">
      <c r="A43" s="20">
        <v>4</v>
      </c>
      <c r="B43" s="20" t="s">
        <v>3194</v>
      </c>
      <c r="J43" s="217"/>
      <c r="K43" s="217"/>
      <c r="L43" s="217"/>
      <c r="M43" s="217"/>
      <c r="N43" s="217"/>
      <c r="O43" s="217"/>
      <c r="P43" s="217"/>
      <c r="Q43" s="217"/>
      <c r="R43" s="217"/>
      <c r="S43" s="217"/>
      <c r="T43" s="217"/>
      <c r="U43" s="53"/>
      <c r="V43" s="53"/>
      <c r="W43" s="53"/>
      <c r="X43" s="53"/>
      <c r="Y43" s="53"/>
      <c r="Z43"/>
    </row>
    <row r="44" spans="1:26" ht="24.9">
      <c r="A44" s="20">
        <v>5</v>
      </c>
      <c r="B44" s="20" t="s">
        <v>3195</v>
      </c>
      <c r="D44" s="20" t="s">
        <v>109</v>
      </c>
      <c r="F44" s="20" t="s">
        <v>32</v>
      </c>
      <c r="G44" s="53" t="s">
        <v>4374</v>
      </c>
      <c r="H44" s="20" t="s">
        <v>35</v>
      </c>
      <c r="I44" s="281" t="s">
        <v>36</v>
      </c>
      <c r="J44" s="281" t="s">
        <v>38</v>
      </c>
      <c r="K44" s="281" t="s">
        <v>39</v>
      </c>
      <c r="M44" s="281" t="s">
        <v>186</v>
      </c>
      <c r="N44" s="281" t="s">
        <v>4352</v>
      </c>
      <c r="O44" s="281" t="s">
        <v>40</v>
      </c>
      <c r="P44" s="281" t="s">
        <v>42</v>
      </c>
      <c r="Q44" s="281" t="s">
        <v>5499</v>
      </c>
      <c r="R44" s="281" t="s">
        <v>43</v>
      </c>
      <c r="S44" s="217" t="s">
        <v>650</v>
      </c>
      <c r="T44" s="281" t="s">
        <v>41</v>
      </c>
      <c r="U44" s="53" t="s">
        <v>4395</v>
      </c>
      <c r="V44" s="53" t="s">
        <v>4387</v>
      </c>
      <c r="W44" s="53" t="s">
        <v>5509</v>
      </c>
      <c r="X44" s="613" t="s">
        <v>5533</v>
      </c>
      <c r="Y44" s="400" t="s">
        <v>5534</v>
      </c>
      <c r="Z44" t="s">
        <v>5448</v>
      </c>
    </row>
    <row r="45" spans="1:26">
      <c r="A45" s="20">
        <v>6</v>
      </c>
      <c r="B45" s="20" t="s">
        <v>3110</v>
      </c>
      <c r="D45" s="20" t="s">
        <v>3753</v>
      </c>
      <c r="F45" s="20" t="s">
        <v>884</v>
      </c>
      <c r="G45" s="20" t="s">
        <v>885</v>
      </c>
      <c r="H45" s="20" t="s">
        <v>829</v>
      </c>
      <c r="I45" s="20" t="s">
        <v>888</v>
      </c>
      <c r="J45" s="290" t="s">
        <v>1889</v>
      </c>
      <c r="K45" s="290" t="s">
        <v>1890</v>
      </c>
      <c r="L45" s="289" t="s">
        <v>1891</v>
      </c>
      <c r="M45" s="20" t="s">
        <v>3288</v>
      </c>
      <c r="N45" s="290" t="s">
        <v>4353</v>
      </c>
      <c r="O45" s="290" t="s">
        <v>1892</v>
      </c>
      <c r="P45" s="290" t="s">
        <v>1893</v>
      </c>
      <c r="Q45" s="290" t="s">
        <v>1894</v>
      </c>
      <c r="R45" s="290" t="s">
        <v>1895</v>
      </c>
      <c r="S45" s="20" t="s">
        <v>650</v>
      </c>
      <c r="T45" s="302" t="s">
        <v>549</v>
      </c>
      <c r="U45" s="53" t="s">
        <v>4392</v>
      </c>
      <c r="V45" s="53" t="s">
        <v>4384</v>
      </c>
      <c r="W45" s="53" t="s">
        <v>4609</v>
      </c>
      <c r="X45" s="53" t="s">
        <v>4610</v>
      </c>
      <c r="Y45" s="53" t="s">
        <v>4523</v>
      </c>
      <c r="Z45" t="s">
        <v>5449</v>
      </c>
    </row>
    <row r="46" spans="1:26" s="510" customFormat="1">
      <c r="A46" s="510">
        <v>7</v>
      </c>
      <c r="B46" s="510" t="s">
        <v>4775</v>
      </c>
      <c r="D46" s="510" t="s">
        <v>4879</v>
      </c>
      <c r="F46" s="510" t="s">
        <v>4880</v>
      </c>
      <c r="G46" s="510" t="s">
        <v>4881</v>
      </c>
      <c r="H46" s="510" t="s">
        <v>4839</v>
      </c>
      <c r="I46" s="510" t="s">
        <v>4882</v>
      </c>
      <c r="J46" s="510" t="s">
        <v>4883</v>
      </c>
      <c r="K46" s="510" t="s">
        <v>4884</v>
      </c>
      <c r="L46" s="510" t="s">
        <v>4885</v>
      </c>
      <c r="M46" s="510" t="s">
        <v>4886</v>
      </c>
      <c r="N46" s="510" t="s">
        <v>4887</v>
      </c>
      <c r="O46" s="510" t="s">
        <v>4888</v>
      </c>
      <c r="P46" s="510" t="s">
        <v>4891</v>
      </c>
      <c r="Q46" s="510" t="s">
        <v>4889</v>
      </c>
      <c r="R46" s="510" t="s">
        <v>4890</v>
      </c>
      <c r="T46" s="510" t="s">
        <v>4892</v>
      </c>
      <c r="U46" s="510" t="s">
        <v>4893</v>
      </c>
      <c r="V46" s="510" t="s">
        <v>4872</v>
      </c>
      <c r="W46" s="510" t="s">
        <v>4894</v>
      </c>
      <c r="X46" s="510" t="s">
        <v>4895</v>
      </c>
      <c r="Y46" s="510" t="s">
        <v>4896</v>
      </c>
      <c r="Z46" s="53" t="s">
        <v>5415</v>
      </c>
    </row>
    <row r="48" spans="1:26">
      <c r="A48" s="145"/>
      <c r="B48" s="145" t="s">
        <v>3190</v>
      </c>
      <c r="C48" s="145"/>
      <c r="D48" s="145" t="str">
        <f>LOOKUP($A$1,'Lang Hull'!$A$3:$A$9,'Lang Hull'!D50:D56)</f>
        <v>If keel is not fixed down</v>
      </c>
      <c r="E48" s="145" t="str">
        <f>LOOKUP($A$1,'Lang Hull'!$A$3:$A$9,'Lang Hull'!E50:E56)</f>
        <v>カンティングキールを備えていますか？</v>
      </c>
      <c r="F48" s="145" t="str">
        <f>LOOKUP($A$1,'Lang Hull'!$A$3:$A$9,'Lang Hull'!F50:F56)</f>
        <v>以下のような、もしくは本申告書にない特徴を持つ場合、PART 2を埋めて下さい</v>
      </c>
      <c r="G48" s="145" t="str">
        <f>LOOKUP($A$1,'Lang Hull'!$A$3:$A$9,'Lang Hull'!G50:G56)</f>
        <v>If the boat has topside hull hollows or any unusual features, see PART 2</v>
      </c>
      <c r="H48" s="145" t="str">
        <f>LOOKUP($A$1,'Lang Hull'!$A$3:$A$9,'Lang Hull'!H50:H56)</f>
        <v>レーティングオーソリティーが写真その他情報の提出を求める場合があります</v>
      </c>
      <c r="I48" s="145" t="str">
        <f>LOOKUP($A$1,'Lang Hull'!$A$3:$A$9,'Lang Hull'!I50:I56)</f>
        <v>前後変動バラスト</v>
      </c>
      <c r="J48" s="145" t="str">
        <f>LOOKUP($A$1,'Lang Hull'!$A$3:$A$9,'Lang Hull'!J50:J56)</f>
        <v>STANDARD HULL DATA: You do not need to complete the cells shaded grey Below</v>
      </c>
      <c r="K48" s="145" t="str">
        <f>LOOKUP($A$1,'Lang Hull'!$A$3:$A$9,'Lang Hull'!K50:K56)</f>
        <v>NOT Standard Hull: Please complete Hull data</v>
      </c>
      <c r="L48" s="145" t="str">
        <f>LOOKUP($A$1,'Lang Hull'!$A$3:$A$9,'Lang Hull'!L50:L56)</f>
        <v>If applicable</v>
      </c>
      <c r="M48" s="145">
        <f>LOOKUP($A$1,'Lang Hull'!$A$3:$A$9,'Lang Hull'!M50:M56)</f>
        <v>0</v>
      </c>
      <c r="N48" s="145">
        <f>LOOKUP($A$1,'Lang Hull'!$A$3:$A$9,'Lang Hull'!N50:N56)</f>
        <v>0</v>
      </c>
      <c r="O48" s="145" t="str">
        <f>LOOKUP($A$1,'Lang Hull'!$A$3:$A$9,'Lang Hull'!O50:O56)</f>
        <v>傾斜角</v>
      </c>
      <c r="P48" s="145">
        <f>LOOKUP($A$1,'Lang Hull'!$A$3:$A$9,'Lang Hull'!P50:P56)</f>
        <v>0</v>
      </c>
      <c r="Q48" s="145" t="str">
        <f>LOOKUP($A$1,'Lang Hull'!$A$3:$A$9,'Lang Hull'!Q50:Q56)</f>
        <v>ハル、デッキ、キャビントップ、内部構造を含む</v>
      </c>
      <c r="R48" s="145">
        <f>LOOKUP($A$1,'Lang Hull'!$A$3:$A$9,'Lang Hull'!R50:R56)</f>
        <v>0</v>
      </c>
    </row>
    <row r="50" spans="1:17">
      <c r="A50" s="20">
        <v>1</v>
      </c>
      <c r="B50" s="20" t="s">
        <v>3191</v>
      </c>
      <c r="D50" s="53" t="s">
        <v>4367</v>
      </c>
      <c r="E50" s="53" t="s">
        <v>4734</v>
      </c>
      <c r="F50" s="53" t="s">
        <v>4388</v>
      </c>
      <c r="G50" s="53" t="s">
        <v>4378</v>
      </c>
      <c r="H50" s="53" t="s">
        <v>4503</v>
      </c>
      <c r="I50" s="53" t="s">
        <v>4729</v>
      </c>
      <c r="J50" s="53" t="s">
        <v>4546</v>
      </c>
      <c r="K50" s="53" t="s">
        <v>4548</v>
      </c>
      <c r="L50" s="53" t="s">
        <v>4553</v>
      </c>
      <c r="N50" s="53"/>
      <c r="O50" s="53" t="s">
        <v>5414</v>
      </c>
      <c r="P50" s="53"/>
      <c r="Q50" s="53" t="s">
        <v>4739</v>
      </c>
    </row>
    <row r="51" spans="1:17">
      <c r="A51" s="20">
        <v>2</v>
      </c>
      <c r="B51" s="20" t="s">
        <v>3192</v>
      </c>
      <c r="D51" s="53" t="s">
        <v>4551</v>
      </c>
      <c r="E51" s="53" t="s">
        <v>4569</v>
      </c>
      <c r="F51" s="474" t="s">
        <v>4571</v>
      </c>
      <c r="G51" s="307" t="s">
        <v>4378</v>
      </c>
      <c r="H51" s="53" t="s">
        <v>4604</v>
      </c>
      <c r="I51" s="53" t="s">
        <v>4613</v>
      </c>
      <c r="J51" s="53" t="s">
        <v>5647</v>
      </c>
      <c r="K51" s="53" t="s">
        <v>4549</v>
      </c>
      <c r="L51" s="53" t="s">
        <v>4554</v>
      </c>
      <c r="N51" s="53"/>
      <c r="O51" s="499" t="s">
        <v>4745</v>
      </c>
      <c r="Q51" s="20" t="s">
        <v>4760</v>
      </c>
    </row>
    <row r="52" spans="1:17">
      <c r="A52" s="20">
        <v>3</v>
      </c>
      <c r="B52" s="20" t="s">
        <v>3193</v>
      </c>
      <c r="D52" s="53" t="s">
        <v>4552</v>
      </c>
      <c r="E52" s="53" t="s">
        <v>4570</v>
      </c>
      <c r="F52" s="475" t="s">
        <v>4572</v>
      </c>
      <c r="G52" s="307" t="s">
        <v>4378</v>
      </c>
      <c r="H52" s="53" t="s">
        <v>4605</v>
      </c>
      <c r="I52" s="53" t="s">
        <v>4614</v>
      </c>
      <c r="J52" s="53" t="s">
        <v>4547</v>
      </c>
      <c r="K52" s="53" t="s">
        <v>4550</v>
      </c>
      <c r="L52" s="53" t="s">
        <v>4555</v>
      </c>
      <c r="N52" s="53"/>
      <c r="O52" s="500" t="s">
        <v>4746</v>
      </c>
      <c r="Q52" s="20" t="s">
        <v>4761</v>
      </c>
    </row>
    <row r="53" spans="1:17">
      <c r="A53" s="20">
        <v>4</v>
      </c>
      <c r="B53" s="20" t="s">
        <v>3194</v>
      </c>
      <c r="D53" s="53"/>
      <c r="E53" s="307"/>
      <c r="F53" s="307"/>
      <c r="G53" s="307"/>
      <c r="H53" s="307"/>
      <c r="I53" s="53"/>
      <c r="N53" s="53"/>
      <c r="O53" s="53"/>
    </row>
    <row r="54" spans="1:17">
      <c r="A54" s="20">
        <v>5</v>
      </c>
      <c r="B54" s="20" t="s">
        <v>3195</v>
      </c>
      <c r="D54" s="53" t="s">
        <v>5505</v>
      </c>
      <c r="E54" s="400" t="s">
        <v>5532</v>
      </c>
      <c r="F54" s="400" t="s">
        <v>5508</v>
      </c>
      <c r="G54" s="307" t="s">
        <v>4378</v>
      </c>
      <c r="H54" s="53" t="s">
        <v>5507</v>
      </c>
      <c r="I54" s="307" t="s">
        <v>4524</v>
      </c>
      <c r="J54" s="53" t="s">
        <v>5502</v>
      </c>
      <c r="K54" s="53" t="s">
        <v>5503</v>
      </c>
      <c r="L54" s="53" t="s">
        <v>5506</v>
      </c>
      <c r="N54" s="53"/>
      <c r="O54" s="496" t="s">
        <v>4747</v>
      </c>
      <c r="Q54" s="20" t="s">
        <v>4762</v>
      </c>
    </row>
    <row r="55" spans="1:17">
      <c r="A55" s="20">
        <v>6</v>
      </c>
      <c r="B55" s="20" t="s">
        <v>3110</v>
      </c>
      <c r="D55" s="307" t="s">
        <v>4367</v>
      </c>
      <c r="E55" s="476" t="s">
        <v>4573</v>
      </c>
      <c r="F55" s="476" t="s">
        <v>4574</v>
      </c>
      <c r="G55" s="307" t="s">
        <v>4378</v>
      </c>
      <c r="H55" s="53" t="s">
        <v>4606</v>
      </c>
      <c r="I55" s="53" t="s">
        <v>4615</v>
      </c>
      <c r="J55" s="53" t="s">
        <v>4546</v>
      </c>
      <c r="K55" s="53" t="s">
        <v>4548</v>
      </c>
      <c r="L55" s="53" t="s">
        <v>4553</v>
      </c>
      <c r="N55" s="53"/>
      <c r="O55" s="507" t="s">
        <v>4771</v>
      </c>
      <c r="Q55" s="508" t="s">
        <v>4772</v>
      </c>
    </row>
    <row r="56" spans="1:17" s="510" customFormat="1">
      <c r="A56" s="510">
        <v>7</v>
      </c>
      <c r="B56" s="510" t="s">
        <v>4775</v>
      </c>
      <c r="D56" s="510" t="s">
        <v>4897</v>
      </c>
      <c r="E56" s="510" t="s">
        <v>4898</v>
      </c>
      <c r="F56" s="510" t="s">
        <v>4899</v>
      </c>
      <c r="G56" s="510" t="s">
        <v>4900</v>
      </c>
      <c r="H56" s="510" t="s">
        <v>4901</v>
      </c>
      <c r="I56" s="510" t="s">
        <v>4902</v>
      </c>
      <c r="J56" s="510" t="s">
        <v>4903</v>
      </c>
      <c r="K56" s="510" t="s">
        <v>4904</v>
      </c>
      <c r="L56" s="510" t="s">
        <v>4905</v>
      </c>
      <c r="O56" s="510" t="s">
        <v>4906</v>
      </c>
      <c r="Q56" s="510" t="s">
        <v>4907</v>
      </c>
    </row>
  </sheetData>
  <sheetProtection algorithmName="SHA-512" hashValue="msJRy8B5iwKZFZDwou5udl0lOE7MStkuHD84u0xKAFYuut7XWzY9+Ofwu9DwMsNmWf3nSYVHC6ka3SqajKX6Bw==" saltValue="h5Ut0k6p8YrYh2bc7jXEuA==" spinCount="100000" sheet="1" objects="1" scenarios="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89"/>
  <sheetViews>
    <sheetView workbookViewId="0">
      <selection activeCell="G18" sqref="G18"/>
    </sheetView>
  </sheetViews>
  <sheetFormatPr defaultColWidth="9.15234375" defaultRowHeight="12.45"/>
  <cols>
    <col min="1" max="1" width="8.15234375" style="142" customWidth="1"/>
    <col min="2" max="2" width="11.4609375" style="142" bestFit="1" customWidth="1"/>
    <col min="3" max="3" width="9.15234375" style="142"/>
    <col min="4" max="4" width="57.3828125" style="142" customWidth="1"/>
    <col min="5" max="5" width="51.921875" style="142" customWidth="1"/>
    <col min="6" max="6" width="48.69140625" style="142" customWidth="1"/>
    <col min="7" max="7" width="45.3828125" style="142" customWidth="1"/>
    <col min="8" max="8" width="40.15234375" style="142" customWidth="1"/>
    <col min="9" max="9" width="47.07421875" style="142" customWidth="1"/>
    <col min="10" max="10" width="95" style="142" bestFit="1" customWidth="1"/>
    <col min="11" max="11" width="48.69140625" style="142" customWidth="1"/>
    <col min="12" max="12" width="24" style="142" customWidth="1"/>
    <col min="13" max="13" width="65.3828125" style="142" customWidth="1"/>
    <col min="14" max="14" width="31.23046875" style="142" customWidth="1"/>
    <col min="15" max="15" width="18.4609375" style="142" customWidth="1"/>
    <col min="16" max="16" width="59" style="142" bestFit="1" customWidth="1"/>
    <col min="17" max="17" width="31.15234375" style="169" customWidth="1"/>
    <col min="18" max="18" width="49.07421875" style="142" bestFit="1" customWidth="1"/>
    <col min="19" max="19" width="57.15234375" style="142" bestFit="1" customWidth="1"/>
    <col min="20" max="20" width="92.53515625" style="142" bestFit="1" customWidth="1"/>
    <col min="21" max="21" width="79.15234375" style="142" bestFit="1" customWidth="1"/>
    <col min="22" max="22" width="21.07421875" style="142" customWidth="1"/>
    <col min="23" max="16384" width="9.15234375" style="142"/>
  </cols>
  <sheetData>
    <row r="1" spans="1:22" s="145" customFormat="1">
      <c r="A1" s="145">
        <f>Application!H441</f>
        <v>6</v>
      </c>
      <c r="B1" s="145" t="s">
        <v>3190</v>
      </c>
      <c r="D1" s="145" t="str">
        <f>LOOKUP($A$1,'Lang Rig'!$A$3:$A$9,'Lang Rig'!D3:D9)</f>
        <v>RIG and SAILS</v>
      </c>
      <c r="E1" s="145" t="str">
        <f>LOOKUP($A$1,'Lang Rig'!$A$3:$A$9,'Lang Rig'!E3:E9)</f>
        <v>Rig type</v>
      </c>
      <c r="F1" s="145" t="str">
        <f>LOOKUP($A$1,'Lang Rig'!$A$3:$A$9,'Lang Rig'!F3:F9)</f>
        <v>Main or forward mast</v>
      </c>
      <c r="G1" s="145" t="str">
        <f>LOOKUP($A$1,'Lang Rig'!$A$3:$A$9,'Lang Rig'!G3:G9)</f>
        <v>Mizzen or aft mast</v>
      </c>
      <c r="H1" s="145" t="str">
        <f>LOOKUP($A$1,'Lang Rig'!$A$3:$A$9,'Lang Rig'!H3:H9)</f>
        <v>情報元</v>
      </c>
      <c r="I1" s="145" t="str">
        <f>LOOKUP($A$1,'Lang Rig'!$A$3:$A$9,'Lang Rig'!I3:I9)</f>
        <v>Mainsail upper limit</v>
      </c>
      <c r="J1" s="145" t="str">
        <f>LOOKUP($A$1,'Lang Rig'!$A$3:$A$9,'Lang Rig'!J3:J9)</f>
        <v>Mainsail outer limit</v>
      </c>
      <c r="K1" s="145" t="str">
        <f>LOOKUP($A$1,'Lang Rig'!$A$3:$A$9,'Lang Rig'!K3:K9)</f>
        <v>Foretriangle base</v>
      </c>
      <c r="L1" s="145" t="str">
        <f>LOOKUP($A$1,'Lang Rig'!$A$3:$A$9,'Lang Rig'!L3:L9)</f>
        <v>Forestay length</v>
      </c>
      <c r="M1" s="145" t="str">
        <f>LOOKUP($A$1,'Lang Rig'!$A$3:$A$9,'Lang Rig'!M3:M9)</f>
        <v>Bowsprit/deck tack point length</v>
      </c>
      <c r="N1" s="145" t="str">
        <f>LOOKUP($A$1,'Lang Rig'!$A$3:$A$9,'Lang Rig'!N3:N9)</f>
        <v>レース中使用するアイテム(spin pole/bowsprit)：</v>
      </c>
      <c r="O1" s="145" t="str">
        <f>LOOKUP($A$1,'Lang Rig'!$A$3:$A$9,'Lang Rig'!O3:O9)</f>
        <v>Spinnaker pole length</v>
      </c>
      <c r="P1" s="145" t="str">
        <f>LOOKUP($A$1,'Lang Rig'!$A$3:$A$9,'Lang Rig'!P3:P9)</f>
        <v>*STL申告はスピン搭載の場合常に必要、たとえデッキにタックを取る場合も</v>
      </c>
      <c r="Q1" s="145" t="str">
        <f>LOOKUP($A$1,'Lang Rig'!$A$3:$A$9,'Lang Rig'!Q3:Q9)</f>
        <v>ウイスカポールを風上にのみセットする場合は、申告の必要はありません</v>
      </c>
      <c r="R1" s="145" t="str">
        <f>LOOKUP($A$1,'Lang Rig'!$A$3:$A$9,'Lang Rig'!R3:R9)</f>
        <v>ウイスカポールを風下にセットする申告</v>
      </c>
      <c r="S1" s="145" t="str">
        <f>LOOKUP($A$1,'Lang Rig'!$A$3:$A$9,'Lang Rig'!S3:S9)</f>
        <v>レース中搭載するヘッドセイルの総数</v>
      </c>
      <c r="T1" s="145" t="str">
        <f>LOOKUP($A$1,'Lang Rig'!$A$3:$A$9,'Lang Rig'!T3:T9)</f>
        <v>ステイスルを含む。OSRヘビーウェザージブ1枚、および/もしくはOSRストームジブ１枚は含まない。IRC規則21.7.1を参照。</v>
      </c>
    </row>
    <row r="2" spans="1:22">
      <c r="D2" s="20"/>
      <c r="O2" s="63"/>
    </row>
    <row r="3" spans="1:22">
      <c r="A3" s="142">
        <v>1</v>
      </c>
      <c r="B3" s="142" t="s">
        <v>3191</v>
      </c>
      <c r="D3" s="29" t="s">
        <v>4414</v>
      </c>
      <c r="E3" s="17" t="s">
        <v>362</v>
      </c>
      <c r="F3" s="30" t="s">
        <v>364</v>
      </c>
      <c r="G3" s="29" t="s">
        <v>2258</v>
      </c>
      <c r="H3" s="296" t="s">
        <v>5698</v>
      </c>
      <c r="I3" s="30" t="s">
        <v>615</v>
      </c>
      <c r="J3" s="30" t="s">
        <v>616</v>
      </c>
      <c r="K3" s="30" t="s">
        <v>370</v>
      </c>
      <c r="L3" s="30" t="s">
        <v>373</v>
      </c>
      <c r="M3" s="30" t="s">
        <v>5249</v>
      </c>
      <c r="N3" s="30" t="s">
        <v>5213</v>
      </c>
      <c r="O3" s="30" t="s">
        <v>5228</v>
      </c>
      <c r="P3" s="30" t="s">
        <v>3399</v>
      </c>
      <c r="Q3" s="568" t="s">
        <v>5377</v>
      </c>
      <c r="R3" s="568" t="s">
        <v>5378</v>
      </c>
      <c r="S3" s="30" t="s">
        <v>5454</v>
      </c>
      <c r="T3" s="30" t="s">
        <v>5455</v>
      </c>
      <c r="U3" s="53"/>
    </row>
    <row r="4" spans="1:22">
      <c r="A4" s="142">
        <v>2</v>
      </c>
      <c r="B4" s="142" t="s">
        <v>3192</v>
      </c>
      <c r="D4" s="4" t="s">
        <v>4415</v>
      </c>
      <c r="E4" s="4" t="s">
        <v>4057</v>
      </c>
      <c r="F4" s="4" t="s">
        <v>4059</v>
      </c>
      <c r="G4" s="4" t="s">
        <v>4058</v>
      </c>
      <c r="H4" s="306" t="s">
        <v>5699</v>
      </c>
      <c r="I4" s="4" t="s">
        <v>3676</v>
      </c>
      <c r="J4" s="4" t="s">
        <v>2693</v>
      </c>
      <c r="K4" s="4" t="s">
        <v>1016</v>
      </c>
      <c r="L4" s="4" t="s">
        <v>2434</v>
      </c>
      <c r="M4" s="4" t="s">
        <v>5345</v>
      </c>
      <c r="N4" s="4" t="s">
        <v>5210</v>
      </c>
      <c r="O4" s="4" t="s">
        <v>5346</v>
      </c>
      <c r="P4" s="4" t="s">
        <v>2111</v>
      </c>
      <c r="Q4" s="30" t="s">
        <v>5379</v>
      </c>
      <c r="R4" s="30" t="s">
        <v>5380</v>
      </c>
      <c r="S4" s="53" t="s">
        <v>5458</v>
      </c>
      <c r="T4" s="30" t="s">
        <v>5475</v>
      </c>
    </row>
    <row r="5" spans="1:22">
      <c r="A5" s="142">
        <v>3</v>
      </c>
      <c r="B5" s="142" t="s">
        <v>3193</v>
      </c>
      <c r="D5" s="141" t="s">
        <v>4416</v>
      </c>
      <c r="E5" s="123" t="s">
        <v>2107</v>
      </c>
      <c r="F5" s="156" t="s">
        <v>2109</v>
      </c>
      <c r="G5" s="141" t="s">
        <v>2108</v>
      </c>
      <c r="H5" s="298" t="s">
        <v>5700</v>
      </c>
      <c r="I5" s="156" t="s">
        <v>2475</v>
      </c>
      <c r="J5" s="156" t="s">
        <v>2476</v>
      </c>
      <c r="K5" s="156" t="s">
        <v>2477</v>
      </c>
      <c r="L5" s="156" t="s">
        <v>2478</v>
      </c>
      <c r="M5" s="156" t="s">
        <v>5256</v>
      </c>
      <c r="N5" s="156" t="s">
        <v>5211</v>
      </c>
      <c r="O5" s="156" t="s">
        <v>5229</v>
      </c>
      <c r="P5" s="156" t="s">
        <v>2131</v>
      </c>
      <c r="Q5" s="30" t="s">
        <v>5381</v>
      </c>
      <c r="R5" s="30" t="s">
        <v>5382</v>
      </c>
      <c r="S5" s="53" t="s">
        <v>5459</v>
      </c>
      <c r="T5" s="30" t="s">
        <v>5476</v>
      </c>
    </row>
    <row r="6" spans="1:22">
      <c r="A6" s="142">
        <v>4</v>
      </c>
      <c r="B6" s="142" t="s">
        <v>3194</v>
      </c>
      <c r="D6" s="29"/>
      <c r="E6" s="17"/>
      <c r="F6" s="30"/>
      <c r="G6" s="29"/>
      <c r="H6" s="95"/>
      <c r="I6" s="30"/>
      <c r="J6" s="30"/>
      <c r="K6" s="30"/>
      <c r="L6" s="30"/>
      <c r="M6" s="30"/>
      <c r="N6" s="30"/>
      <c r="O6" s="30"/>
      <c r="P6" s="30"/>
      <c r="Q6" s="30"/>
      <c r="R6" s="30"/>
      <c r="S6" s="30"/>
      <c r="T6" s="30"/>
    </row>
    <row r="7" spans="1:22">
      <c r="A7" s="142">
        <v>5</v>
      </c>
      <c r="B7" s="142" t="s">
        <v>3195</v>
      </c>
      <c r="D7" s="154" t="s">
        <v>4417</v>
      </c>
      <c r="E7" s="154" t="s">
        <v>3095</v>
      </c>
      <c r="F7" s="154" t="s">
        <v>2112</v>
      </c>
      <c r="G7" s="154" t="s">
        <v>2113</v>
      </c>
      <c r="H7" s="298" t="s">
        <v>5701</v>
      </c>
      <c r="I7" s="154" t="s">
        <v>2114</v>
      </c>
      <c r="J7" s="4" t="s">
        <v>2903</v>
      </c>
      <c r="K7" s="154" t="s">
        <v>2115</v>
      </c>
      <c r="L7" s="154" t="s">
        <v>2116</v>
      </c>
      <c r="M7" s="30" t="s">
        <v>5511</v>
      </c>
      <c r="N7" s="154" t="s">
        <v>5212</v>
      </c>
      <c r="O7" s="154" t="s">
        <v>5230</v>
      </c>
      <c r="P7" s="154" t="s">
        <v>100</v>
      </c>
      <c r="Q7" s="30" t="s">
        <v>5383</v>
      </c>
      <c r="R7" s="30" t="s">
        <v>5384</v>
      </c>
      <c r="S7" s="281" t="s">
        <v>5460</v>
      </c>
      <c r="T7" s="610" t="s">
        <v>5477</v>
      </c>
    </row>
    <row r="8" spans="1:22" ht="14.15">
      <c r="A8" s="160">
        <v>6</v>
      </c>
      <c r="B8" s="160" t="s">
        <v>4173</v>
      </c>
      <c r="D8" s="114" t="s">
        <v>4414</v>
      </c>
      <c r="E8" s="108" t="s">
        <v>362</v>
      </c>
      <c r="F8" s="111" t="s">
        <v>364</v>
      </c>
      <c r="G8" s="114" t="s">
        <v>2258</v>
      </c>
      <c r="H8" s="95" t="s">
        <v>3113</v>
      </c>
      <c r="I8" s="111" t="s">
        <v>615</v>
      </c>
      <c r="J8" s="111" t="s">
        <v>616</v>
      </c>
      <c r="K8" s="111" t="s">
        <v>370</v>
      </c>
      <c r="L8" s="111" t="s">
        <v>373</v>
      </c>
      <c r="M8" s="111" t="s">
        <v>5249</v>
      </c>
      <c r="N8" s="291" t="s">
        <v>5209</v>
      </c>
      <c r="O8" s="30" t="s">
        <v>5228</v>
      </c>
      <c r="P8" s="111" t="s">
        <v>3121</v>
      </c>
      <c r="Q8" s="30" t="s">
        <v>5385</v>
      </c>
      <c r="R8" s="30" t="s">
        <v>5386</v>
      </c>
      <c r="S8" s="111" t="s">
        <v>889</v>
      </c>
      <c r="T8" t="s">
        <v>5490</v>
      </c>
    </row>
    <row r="9" spans="1:22" s="510" customFormat="1">
      <c r="A9" s="510">
        <v>7</v>
      </c>
      <c r="B9" s="510" t="s">
        <v>4775</v>
      </c>
      <c r="D9" s="517" t="s">
        <v>4908</v>
      </c>
      <c r="E9" s="517" t="s">
        <v>4909</v>
      </c>
      <c r="F9" s="517" t="s">
        <v>4910</v>
      </c>
      <c r="G9" s="517" t="s">
        <v>4912</v>
      </c>
      <c r="H9" s="523" t="s">
        <v>5702</v>
      </c>
      <c r="I9" s="517" t="s">
        <v>4911</v>
      </c>
      <c r="J9" s="522" t="s">
        <v>4913</v>
      </c>
      <c r="K9" s="517" t="s">
        <v>4914</v>
      </c>
      <c r="L9" s="517" t="s">
        <v>4915</v>
      </c>
      <c r="M9" s="517" t="s">
        <v>5257</v>
      </c>
      <c r="N9" s="517" t="s">
        <v>5214</v>
      </c>
      <c r="O9" s="517" t="s">
        <v>5231</v>
      </c>
      <c r="P9" s="517" t="s">
        <v>4916</v>
      </c>
      <c r="Q9" s="535"/>
      <c r="S9" s="510" t="s">
        <v>4974</v>
      </c>
      <c r="T9" s="30" t="s">
        <v>5455</v>
      </c>
    </row>
    <row r="11" spans="1:22" s="145" customFormat="1">
      <c r="B11" s="145" t="s">
        <v>3190</v>
      </c>
      <c r="D11" s="145" t="str">
        <f>LOOKUP($A$1,'Lang Rig'!$A$3:$A$9,'Lang Rig'!D13:D19)</f>
        <v>Longest HLU of any headsail</v>
      </c>
      <c r="E11" s="145" t="str">
        <f>LOOKUP($A$1,'Lang Rig'!$A$3:$A$9,'Lang Rig'!E13:E19)</f>
        <v>Headsail luff length</v>
      </c>
      <c r="F11" s="145" t="str">
        <f>LOOKUP($A$1,'Lang Rig'!$A$3:$A$9,'Lang Rig'!F13:F19)</f>
        <v>Headsail perpendicular</v>
      </c>
      <c r="G11" s="145" t="str">
        <f>LOOKUP($A$1,'Lang Rig'!$A$3:$A$9,'Lang Rig'!G13:G19)</f>
        <v>Headsail 1/2 width</v>
      </c>
      <c r="H11" s="145" t="str">
        <f>LOOKUP($A$1,'Lang Rig'!$A$3:$A$9,'Lang Rig'!H13:H19)</f>
        <v>Headsail 3/4 width</v>
      </c>
      <c r="I11" s="145" t="str">
        <f>LOOKUP($A$1,'Lang Rig'!$A$3:$A$9,'Lang Rig'!I13:I19)</f>
        <v>Headsail upper (7/8) width</v>
      </c>
      <c r="J11" s="145" t="str">
        <f>LOOKUP($A$1,'Lang Rig'!$A$3:$A$9,'Lang Rig'!J13:J19)</f>
        <v>Mainsail upper (7/8) width</v>
      </c>
      <c r="K11" s="145" t="str">
        <f>LOOKUP($A$1,'Lang Rig'!$A$3:$A$9,'Lang Rig'!K13:K19)</f>
        <v>Mainsail 3/4 width</v>
      </c>
      <c r="L11" s="145" t="str">
        <f>LOOKUP($A$1,'Lang Rig'!$A$3:$A$9,'Lang Rig'!L13:L19)</f>
        <v>Mainsail 1/2 width</v>
      </c>
      <c r="M11" s="145" t="str">
        <f>LOOKUP($A$1,'Lang Rig'!$A$3:$A$9,'Lang Rig'!M13:M19)</f>
        <v>**最大面積ヘッドセール</v>
      </c>
      <c r="N11" s="145" t="str">
        <f>LOOKUP($A$1,'Lang Rig'!$A$3:$A$9,'Lang Rig'!N13:N19)</f>
        <v>Calc HSA</v>
      </c>
      <c r="O11" s="145" t="str">
        <f>LOOKUP($A$1,'Lang Rig'!$A$3:$A$9,'Lang Rig'!O13:O19)</f>
        <v>Calc FSA</v>
      </c>
      <c r="P11" s="145" t="str">
        <f>LOOKUP($A$1,'Lang Rig'!$A$3:$A$9,'Lang Rig'!P13:P19)</f>
        <v>default =</v>
      </c>
      <c r="Q11" s="145" t="str">
        <f>LOOKUP($A$1,'Lang Rig'!$A$3:$A$9,'Lang Rig'!Q13:Q19)</f>
        <v xml:space="preserve">No. of spinnakers carried when racing </v>
      </c>
      <c r="R11" s="145" t="str">
        <f>LOOKUP($A$1,'Lang Rig'!$A$3:$A$9,'Lang Rig'!R13:R19)</f>
        <v>symmetric（対称）</v>
      </c>
      <c r="S11" s="145" t="str">
        <f>LOOKUP($A$1,'Lang Rig'!$A$3:$A$9,'Lang Rig'!S13:S19)</f>
        <v>asymmetric（非対称）</v>
      </c>
      <c r="T11" s="145" t="str">
        <f>LOOKUP($A$1,'Lang Rig'!$A$3:$A$9,'Lang Rig'!T13:T19)</f>
        <v>下のSPAで</v>
      </c>
      <c r="U11" s="145" t="str">
        <f>LOOKUP($A$1,'Lang Rig'!$A$3:$A$9,'Lang Rig'!U13:U19)</f>
        <v>最大面積が使われる</v>
      </c>
      <c r="V11" s="145" t="str">
        <f>LOOKUP($A$1,'Lang Rig'!$A$3:$A$9,'Lang Rig'!V13:V19)</f>
        <v>IRC ルール21.6.2により、スピネーカ寸法値の申告が必要</v>
      </c>
    </row>
    <row r="12" spans="1:22">
      <c r="Q12" s="142"/>
      <c r="R12" s="169"/>
    </row>
    <row r="13" spans="1:22">
      <c r="A13" s="142">
        <v>1</v>
      </c>
      <c r="B13" s="142" t="s">
        <v>3191</v>
      </c>
      <c r="D13" s="30" t="s">
        <v>4557</v>
      </c>
      <c r="E13" s="30" t="s">
        <v>1453</v>
      </c>
      <c r="F13" s="30" t="s">
        <v>1454</v>
      </c>
      <c r="G13" s="30" t="s">
        <v>112</v>
      </c>
      <c r="H13" s="30" t="s">
        <v>2251</v>
      </c>
      <c r="I13" s="30" t="s">
        <v>111</v>
      </c>
      <c r="J13" s="30" t="s">
        <v>113</v>
      </c>
      <c r="K13" s="30" t="s">
        <v>1523</v>
      </c>
      <c r="L13" s="30" t="s">
        <v>1524</v>
      </c>
      <c r="M13" s="30" t="s">
        <v>4240</v>
      </c>
      <c r="N13" s="161" t="s">
        <v>4427</v>
      </c>
      <c r="O13" s="161" t="s">
        <v>5332</v>
      </c>
      <c r="P13" s="161" t="s">
        <v>1458</v>
      </c>
      <c r="Q13" s="17" t="s">
        <v>377</v>
      </c>
      <c r="R13" s="4" t="s">
        <v>378</v>
      </c>
      <c r="S13" s="17" t="s">
        <v>379</v>
      </c>
      <c r="T13" s="66" t="s">
        <v>1360</v>
      </c>
      <c r="U13" s="66" t="s">
        <v>1361</v>
      </c>
      <c r="V13" s="17" t="s">
        <v>4717</v>
      </c>
    </row>
    <row r="14" spans="1:22">
      <c r="A14" s="142">
        <v>2</v>
      </c>
      <c r="B14" s="142" t="s">
        <v>3192</v>
      </c>
      <c r="D14" s="4" t="s">
        <v>4558</v>
      </c>
      <c r="E14" s="4" t="s">
        <v>2438</v>
      </c>
      <c r="F14" s="4" t="s">
        <v>3181</v>
      </c>
      <c r="G14" s="4" t="s">
        <v>3400</v>
      </c>
      <c r="H14" s="142" t="s">
        <v>396</v>
      </c>
      <c r="I14" t="s">
        <v>4260</v>
      </c>
      <c r="J14" s="4" t="s">
        <v>3401</v>
      </c>
      <c r="K14" s="4" t="s">
        <v>3402</v>
      </c>
      <c r="L14" s="4" t="s">
        <v>3403</v>
      </c>
      <c r="M14" s="142" t="s">
        <v>4241</v>
      </c>
      <c r="N14" s="161" t="s">
        <v>4427</v>
      </c>
      <c r="O14" s="161" t="s">
        <v>5332</v>
      </c>
      <c r="P14" s="163" t="s">
        <v>3404</v>
      </c>
      <c r="Q14" s="142" t="s">
        <v>1362</v>
      </c>
      <c r="R14" s="4" t="s">
        <v>3405</v>
      </c>
      <c r="S14" s="4" t="s">
        <v>3406</v>
      </c>
      <c r="T14" s="68" t="s">
        <v>101</v>
      </c>
      <c r="U14" s="68" t="s">
        <v>3407</v>
      </c>
      <c r="V14" s="30" t="s">
        <v>4719</v>
      </c>
    </row>
    <row r="15" spans="1:22">
      <c r="A15" s="142">
        <v>3</v>
      </c>
      <c r="B15" s="142" t="s">
        <v>3193</v>
      </c>
      <c r="D15" s="53" t="s">
        <v>4560</v>
      </c>
      <c r="E15" s="156" t="s">
        <v>1299</v>
      </c>
      <c r="F15" s="156" t="s">
        <v>1300</v>
      </c>
      <c r="G15" s="156" t="s">
        <v>1301</v>
      </c>
      <c r="H15" s="156" t="s">
        <v>1302</v>
      </c>
      <c r="I15" t="s">
        <v>4261</v>
      </c>
      <c r="J15" s="156" t="s">
        <v>1304</v>
      </c>
      <c r="K15" s="156" t="s">
        <v>1303</v>
      </c>
      <c r="L15" s="156" t="s">
        <v>1305</v>
      </c>
      <c r="M15" s="156" t="s">
        <v>4242</v>
      </c>
      <c r="N15" s="161" t="s">
        <v>4427</v>
      </c>
      <c r="O15" s="161" t="s">
        <v>5332</v>
      </c>
      <c r="P15" s="164" t="s">
        <v>3420</v>
      </c>
      <c r="Q15" s="123" t="s">
        <v>3421</v>
      </c>
      <c r="R15" s="154" t="s">
        <v>3422</v>
      </c>
      <c r="S15" s="123" t="s">
        <v>3423</v>
      </c>
      <c r="T15" s="165" t="s">
        <v>3424</v>
      </c>
      <c r="U15" s="66"/>
      <c r="V15" s="487" t="s">
        <v>4717</v>
      </c>
    </row>
    <row r="16" spans="1:22">
      <c r="A16" s="142">
        <v>4</v>
      </c>
      <c r="B16" s="142" t="s">
        <v>3194</v>
      </c>
      <c r="D16" s="30"/>
      <c r="E16" s="30"/>
      <c r="F16" s="30"/>
      <c r="G16" s="30"/>
      <c r="H16" s="30"/>
      <c r="I16"/>
      <c r="J16" s="30"/>
      <c r="K16" s="30"/>
      <c r="L16" s="30"/>
      <c r="M16" s="30"/>
      <c r="N16" s="161" t="s">
        <v>4427</v>
      </c>
      <c r="O16" s="161" t="s">
        <v>5332</v>
      </c>
      <c r="P16" s="161"/>
      <c r="Q16" s="17"/>
      <c r="R16" s="4"/>
      <c r="S16" s="17"/>
      <c r="T16" s="66"/>
      <c r="U16" s="66"/>
      <c r="V16" s="487"/>
    </row>
    <row r="17" spans="1:22">
      <c r="A17" s="142">
        <v>5</v>
      </c>
      <c r="B17" s="142" t="s">
        <v>3195</v>
      </c>
      <c r="D17" s="156" t="s">
        <v>4559</v>
      </c>
      <c r="E17" s="156" t="s">
        <v>2117</v>
      </c>
      <c r="F17" s="156" t="s">
        <v>2118</v>
      </c>
      <c r="G17" s="156" t="s">
        <v>2119</v>
      </c>
      <c r="H17" s="156" t="s">
        <v>2120</v>
      </c>
      <c r="I17" t="s">
        <v>4262</v>
      </c>
      <c r="J17" s="156" t="s">
        <v>2121</v>
      </c>
      <c r="K17" s="156" t="s">
        <v>2122</v>
      </c>
      <c r="L17" s="156" t="s">
        <v>2123</v>
      </c>
      <c r="M17" s="156" t="s">
        <v>4243</v>
      </c>
      <c r="N17" s="161" t="s">
        <v>4427</v>
      </c>
      <c r="O17" s="161" t="s">
        <v>5332</v>
      </c>
      <c r="P17" s="164" t="s">
        <v>2703</v>
      </c>
      <c r="Q17" s="123" t="s">
        <v>2124</v>
      </c>
      <c r="R17" s="154" t="s">
        <v>2125</v>
      </c>
      <c r="S17" s="123" t="s">
        <v>3709</v>
      </c>
      <c r="T17" s="165" t="s">
        <v>3710</v>
      </c>
      <c r="U17" s="66"/>
      <c r="V17" s="487" t="s">
        <v>4717</v>
      </c>
    </row>
    <row r="18" spans="1:22" ht="14.15">
      <c r="A18" s="160">
        <v>6</v>
      </c>
      <c r="B18" s="160" t="s">
        <v>4173</v>
      </c>
      <c r="D18" s="111" t="s">
        <v>4557</v>
      </c>
      <c r="E18" s="111" t="s">
        <v>1453</v>
      </c>
      <c r="F18" s="111" t="s">
        <v>1454</v>
      </c>
      <c r="G18" s="111" t="s">
        <v>112</v>
      </c>
      <c r="H18" s="111" t="s">
        <v>2251</v>
      </c>
      <c r="I18" s="111" t="s">
        <v>111</v>
      </c>
      <c r="J18" s="111" t="s">
        <v>113</v>
      </c>
      <c r="K18" s="111" t="s">
        <v>1523</v>
      </c>
      <c r="L18" s="111" t="s">
        <v>1524</v>
      </c>
      <c r="M18" s="292" t="s">
        <v>1896</v>
      </c>
      <c r="N18" s="161" t="s">
        <v>4427</v>
      </c>
      <c r="O18" s="161" t="s">
        <v>5332</v>
      </c>
      <c r="P18" s="166" t="s">
        <v>1458</v>
      </c>
      <c r="Q18" s="108" t="s">
        <v>377</v>
      </c>
      <c r="R18" s="536" t="s">
        <v>1897</v>
      </c>
      <c r="S18" s="293" t="s">
        <v>1898</v>
      </c>
      <c r="T18" s="110" t="s">
        <v>3122</v>
      </c>
      <c r="U18" s="110" t="s">
        <v>3123</v>
      </c>
      <c r="V18" s="17" t="s">
        <v>4718</v>
      </c>
    </row>
    <row r="19" spans="1:22" s="510" customFormat="1">
      <c r="A19" s="510">
        <v>7</v>
      </c>
      <c r="B19" s="510" t="s">
        <v>4775</v>
      </c>
      <c r="D19" s="514" t="s">
        <v>4918</v>
      </c>
      <c r="E19" s="514" t="s">
        <v>4939</v>
      </c>
      <c r="F19" s="514" t="s">
        <v>4917</v>
      </c>
      <c r="G19" s="514" t="s">
        <v>4921</v>
      </c>
      <c r="H19" s="514" t="s">
        <v>4920</v>
      </c>
      <c r="I19" s="514" t="s">
        <v>4919</v>
      </c>
      <c r="J19" s="514" t="s">
        <v>4922</v>
      </c>
      <c r="K19" s="514" t="s">
        <v>4923</v>
      </c>
      <c r="L19" s="514" t="s">
        <v>4924</v>
      </c>
      <c r="M19" s="514" t="s">
        <v>4925</v>
      </c>
      <c r="N19" s="519" t="s">
        <v>4926</v>
      </c>
      <c r="O19" s="519" t="s">
        <v>5333</v>
      </c>
      <c r="P19" s="519" t="s">
        <v>4927</v>
      </c>
      <c r="Q19" s="516" t="s">
        <v>4928</v>
      </c>
      <c r="R19" s="517" t="s">
        <v>2125</v>
      </c>
      <c r="S19" s="516" t="s">
        <v>4929</v>
      </c>
      <c r="T19" s="518" t="s">
        <v>4930</v>
      </c>
      <c r="U19" s="521" t="s">
        <v>4931</v>
      </c>
      <c r="V19" s="510" t="s">
        <v>4932</v>
      </c>
    </row>
    <row r="21" spans="1:22" s="145" customFormat="1">
      <c r="B21" s="145" t="s">
        <v>3190</v>
      </c>
      <c r="D21" s="145" t="str">
        <f>LOOKUP($A$1,'Lang Rig'!$A$3:$A$9,'Lang Rig'!D23:D29)</f>
        <v>Symmetric spinnaker luff</v>
      </c>
      <c r="E21" s="145" t="str">
        <f>LOOKUP($A$1,'Lang Rig'!$A$3:$A$9,'Lang Rig'!E23:E29)</f>
        <v>Symmetric spinnaker leech</v>
      </c>
      <c r="F21" s="145" t="str">
        <f>LOOKUP($A$1,'Lang Rig'!$A$3:$A$9,'Lang Rig'!F23:F29)</f>
        <v>Symmetric spinnaker foot</v>
      </c>
      <c r="G21" s="145" t="str">
        <f>LOOKUP($A$1,'Lang Rig'!$A$3:$A$9,'Lang Rig'!G23:G29)</f>
        <v>Symmetric spinnaker half width</v>
      </c>
      <c r="H21" s="145" t="str">
        <f>LOOKUP($A$1,'Lang Rig'!$A$3:$A$9,'Lang Rig'!H23:H29)</f>
        <v>Asymmetric spinnaker luff</v>
      </c>
      <c r="I21" s="145" t="str">
        <f>LOOKUP($A$1,'Lang Rig'!$A$3:$A$9,'Lang Rig'!I23:I29)</f>
        <v>Asymmetric spinnaker leech</v>
      </c>
      <c r="J21" s="145" t="str">
        <f>LOOKUP($A$1,'Lang Rig'!$A$3:$A$9,'Lang Rig'!J23:J29)</f>
        <v>Asymmetric spinnaker foot</v>
      </c>
      <c r="K21" s="145" t="str">
        <f>LOOKUP($A$1,'Lang Rig'!$A$3:$A$9,'Lang Rig'!K23:K29)</f>
        <v>Asymmetric spinnaker half width</v>
      </c>
      <c r="L21" s="145">
        <f>LOOKUP($A$1,'Lang Rig'!$A$3:$A$9,'Lang Rig'!L23:L29)</f>
        <v>0</v>
      </c>
      <c r="M21" s="145">
        <f>LOOKUP($A$1,'Lang Rig'!$A$3:$A$9,'Lang Rig'!M23:M29)</f>
        <v>0</v>
      </c>
      <c r="N21" s="145" t="str">
        <f>LOOKUP($A$1,'Lang Rig'!$A$3:$A$9,'Lang Rig'!N23:N29)</f>
        <v>or SPA</v>
      </c>
      <c r="O21" s="145" t="str">
        <f>LOOKUP($A$1,'Lang Rig'!$A$3:$A$9,'Lang Rig'!O23:O29)</f>
        <v>計算値 SPA</v>
      </c>
      <c r="P21" s="145" t="str">
        <f>LOOKUP($A$1,'Lang Rig'!$A$3:$A$9,'Lang Rig'!P23:P29)</f>
        <v>寸法値データより</v>
      </c>
      <c r="Q21" s="145" t="str">
        <f>LOOKUP($A$1,'Lang Rig'!$A$3:$A$9,'Lang Rig'!Q23:Q29)</f>
        <v>Ketches/yawls only :</v>
      </c>
      <c r="R21" s="145">
        <f>LOOKUP($A$1,'Lang Rig'!$A$3:$A$9,'Lang Rig'!R23:R29)</f>
        <v>0</v>
      </c>
      <c r="S21" s="145" t="str">
        <f>LOOKUP($A$1,'Lang Rig'!$A$3:$A$9,'Lang Rig'!S23:S29)</f>
        <v>Mizzen staysail HLP</v>
      </c>
      <c r="T21" s="145" t="str">
        <f>LOOKUP($A$1,'Lang Rig'!$A$3:$A$9,'Lang Rig'!T23:T29)</f>
        <v>Mizzen staysail HLU</v>
      </c>
      <c r="U21" s="145">
        <f>LOOKUP($A$1,'Lang Rig'!$A$3:$A$9,'Lang Rig'!U23:U29)</f>
        <v>0</v>
      </c>
    </row>
    <row r="23" spans="1:22">
      <c r="A23" s="142">
        <v>1</v>
      </c>
      <c r="B23" s="142" t="s">
        <v>3191</v>
      </c>
      <c r="D23" s="30" t="s">
        <v>1462</v>
      </c>
      <c r="E23" s="30" t="s">
        <v>156</v>
      </c>
      <c r="F23" s="30" t="s">
        <v>160</v>
      </c>
      <c r="G23" s="30" t="s">
        <v>162</v>
      </c>
      <c r="H23" s="30" t="s">
        <v>165</v>
      </c>
      <c r="I23" s="30" t="s">
        <v>170</v>
      </c>
      <c r="J23" s="30" t="s">
        <v>642</v>
      </c>
      <c r="K23" s="30" t="s">
        <v>643</v>
      </c>
      <c r="N23" s="29" t="s">
        <v>164</v>
      </c>
      <c r="O23" s="29" t="s">
        <v>3947</v>
      </c>
      <c r="P23" s="64" t="s">
        <v>3960</v>
      </c>
      <c r="Q23" s="29" t="s">
        <v>645</v>
      </c>
      <c r="R23" s="30"/>
      <c r="S23" s="30" t="s">
        <v>4406</v>
      </c>
      <c r="T23" s="30" t="s">
        <v>4410</v>
      </c>
    </row>
    <row r="24" spans="1:22">
      <c r="A24" s="142">
        <v>2</v>
      </c>
      <c r="B24" s="142" t="s">
        <v>3192</v>
      </c>
      <c r="D24" s="4" t="s">
        <v>1363</v>
      </c>
      <c r="E24" s="4" t="s">
        <v>1363</v>
      </c>
      <c r="F24" s="4" t="s">
        <v>1364</v>
      </c>
      <c r="G24" s="142" t="s">
        <v>1365</v>
      </c>
      <c r="H24" s="4" t="s">
        <v>1366</v>
      </c>
      <c r="I24" s="4" t="s">
        <v>1367</v>
      </c>
      <c r="J24" s="4" t="s">
        <v>1368</v>
      </c>
      <c r="K24" s="4" t="s">
        <v>1369</v>
      </c>
      <c r="L24" s="149"/>
      <c r="M24" s="149"/>
      <c r="N24" s="4" t="s">
        <v>2694</v>
      </c>
      <c r="O24" s="4" t="s">
        <v>3947</v>
      </c>
      <c r="P24" s="65" t="s">
        <v>2695</v>
      </c>
      <c r="Q24" s="4" t="s">
        <v>3764</v>
      </c>
      <c r="R24" s="4"/>
      <c r="S24" s="4" t="s">
        <v>4407</v>
      </c>
      <c r="T24" s="4" t="s">
        <v>4411</v>
      </c>
    </row>
    <row r="25" spans="1:22">
      <c r="A25" s="142">
        <v>3</v>
      </c>
      <c r="B25" s="142" t="s">
        <v>3193</v>
      </c>
      <c r="D25" s="156" t="s">
        <v>3425</v>
      </c>
      <c r="E25" s="156" t="s">
        <v>3425</v>
      </c>
      <c r="F25" s="156" t="s">
        <v>3426</v>
      </c>
      <c r="G25" s="156" t="s">
        <v>3427</v>
      </c>
      <c r="H25" s="156" t="s">
        <v>3428</v>
      </c>
      <c r="I25" s="156" t="s">
        <v>2755</v>
      </c>
      <c r="J25" s="156" t="s">
        <v>2756</v>
      </c>
      <c r="K25" s="156" t="s">
        <v>2760</v>
      </c>
      <c r="L25" s="144"/>
      <c r="M25" s="144"/>
      <c r="N25" s="141" t="s">
        <v>2761</v>
      </c>
      <c r="O25" s="141" t="s">
        <v>3947</v>
      </c>
      <c r="P25" s="167" t="s">
        <v>2762</v>
      </c>
      <c r="Q25" s="141" t="s">
        <v>2763</v>
      </c>
      <c r="R25" s="156"/>
      <c r="S25" s="156" t="s">
        <v>4408</v>
      </c>
      <c r="T25" s="156" t="s">
        <v>4412</v>
      </c>
    </row>
    <row r="26" spans="1:22">
      <c r="A26" s="142">
        <v>4</v>
      </c>
      <c r="B26" s="142" t="s">
        <v>3194</v>
      </c>
      <c r="D26" s="30"/>
      <c r="E26" s="30"/>
      <c r="F26" s="30"/>
      <c r="G26" s="30"/>
      <c r="H26" s="30"/>
      <c r="I26" s="30"/>
      <c r="J26" s="30"/>
      <c r="K26" s="30"/>
      <c r="N26" s="29"/>
      <c r="O26" s="29"/>
      <c r="P26" s="64"/>
      <c r="Q26" s="29"/>
      <c r="R26" s="30"/>
      <c r="S26" s="30"/>
      <c r="T26" s="30"/>
    </row>
    <row r="27" spans="1:22">
      <c r="A27" s="142">
        <v>5</v>
      </c>
      <c r="B27" s="142" t="s">
        <v>3195</v>
      </c>
      <c r="D27" s="156" t="s">
        <v>3712</v>
      </c>
      <c r="E27" s="156" t="s">
        <v>3713</v>
      </c>
      <c r="F27" s="156" t="s">
        <v>3711</v>
      </c>
      <c r="G27" s="156" t="s">
        <v>3714</v>
      </c>
      <c r="H27" s="156" t="s">
        <v>3715</v>
      </c>
      <c r="I27" s="156" t="s">
        <v>3716</v>
      </c>
      <c r="J27" s="156" t="s">
        <v>3717</v>
      </c>
      <c r="K27" s="156" t="s">
        <v>3718</v>
      </c>
      <c r="L27" s="144"/>
      <c r="M27" s="144"/>
      <c r="N27" s="141" t="s">
        <v>3719</v>
      </c>
      <c r="O27" s="141" t="s">
        <v>3947</v>
      </c>
      <c r="P27" s="167" t="s">
        <v>3720</v>
      </c>
      <c r="Q27" s="141" t="s">
        <v>3721</v>
      </c>
      <c r="R27" s="156"/>
      <c r="S27" s="156" t="s">
        <v>4409</v>
      </c>
      <c r="T27" s="156" t="s">
        <v>4413</v>
      </c>
    </row>
    <row r="28" spans="1:22" ht="14.15">
      <c r="A28" s="160">
        <v>6</v>
      </c>
      <c r="B28" s="160" t="s">
        <v>4173</v>
      </c>
      <c r="D28" s="111" t="s">
        <v>1462</v>
      </c>
      <c r="E28" s="111" t="s">
        <v>156</v>
      </c>
      <c r="F28" s="111" t="s">
        <v>160</v>
      </c>
      <c r="G28" s="111" t="s">
        <v>162</v>
      </c>
      <c r="H28" s="111" t="s">
        <v>165</v>
      </c>
      <c r="I28" s="111" t="s">
        <v>170</v>
      </c>
      <c r="J28" s="111" t="s">
        <v>642</v>
      </c>
      <c r="K28" s="111" t="s">
        <v>643</v>
      </c>
      <c r="L28" s="160"/>
      <c r="M28" s="160"/>
      <c r="N28" s="114" t="s">
        <v>164</v>
      </c>
      <c r="O28" s="114" t="s">
        <v>3124</v>
      </c>
      <c r="P28" s="109" t="s">
        <v>3125</v>
      </c>
      <c r="Q28" s="114" t="s">
        <v>645</v>
      </c>
      <c r="R28" s="111"/>
      <c r="S28" s="111" t="s">
        <v>4406</v>
      </c>
      <c r="T28" s="30" t="s">
        <v>4410</v>
      </c>
    </row>
    <row r="29" spans="1:22" s="510" customFormat="1">
      <c r="A29" s="510">
        <v>7</v>
      </c>
      <c r="B29" s="510" t="s">
        <v>4775</v>
      </c>
      <c r="D29" s="514" t="s">
        <v>4933</v>
      </c>
      <c r="E29" s="514" t="s">
        <v>4934</v>
      </c>
      <c r="F29" s="514" t="s">
        <v>4935</v>
      </c>
      <c r="G29" s="514" t="s">
        <v>4936</v>
      </c>
      <c r="H29" s="514" t="s">
        <v>4937</v>
      </c>
      <c r="I29" s="514" t="s">
        <v>4938</v>
      </c>
      <c r="J29" s="514" t="s">
        <v>4940</v>
      </c>
      <c r="K29" s="514" t="s">
        <v>4941</v>
      </c>
      <c r="L29" s="513"/>
      <c r="M29" s="513"/>
      <c r="N29" s="515" t="s">
        <v>2694</v>
      </c>
      <c r="O29" s="515" t="s">
        <v>4942</v>
      </c>
      <c r="P29" s="520" t="s">
        <v>4943</v>
      </c>
      <c r="Q29" s="515" t="s">
        <v>4944</v>
      </c>
      <c r="R29" s="514"/>
      <c r="S29" s="514" t="s">
        <v>4945</v>
      </c>
    </row>
    <row r="31" spans="1:22" s="145" customFormat="1">
      <c r="B31" s="145" t="s">
        <v>3190</v>
      </c>
      <c r="D31" s="145" t="str">
        <f>LOOKUP($A$1,'Lang Rig'!$A$3:$A$9,'Lang Rig'!D33:D39)</f>
        <v>Name of sailmaker (s) loft (s)</v>
      </c>
      <c r="E31" s="145" t="str">
        <f>LOOKUP($A$1,'Lang Rig'!$A$3:$A$9,'Lang Rig'!E33:E39)</f>
        <v>Mainmast material</v>
      </c>
      <c r="F31" s="145" t="str">
        <f>LOOKUP($A$1,'Lang Rig'!$A$3:$A$9,'Lang Rig'!F33:F39)</f>
        <v>他の場合：</v>
      </c>
      <c r="G31" s="145" t="str">
        <f>LOOKUP($A$1,'Lang Rig'!$A$3:$A$9,'Lang Rig'!G33:G39)</f>
        <v>No. of pairs of spreaders</v>
      </c>
      <c r="H31" s="145" t="str">
        <f>LOOKUP($A$1,'Lang Rig'!$A$3:$A$9,'Lang Rig'!H33:H39)</f>
        <v>No. of pairs diamonds/jumpers</v>
      </c>
      <c r="I31" s="145" t="str">
        <f>LOOKUP($A$1,'Lang Rig'!$A$3:$A$9,'Lang Rig'!I33:I39)</f>
        <v>アフトステーの（組）数</v>
      </c>
      <c r="J31" s="145" t="str">
        <f>LOOKUP($A$1,'Lang Rig'!$A$3:$A$9,'Lang Rig'!J33:J39)</f>
        <v>No. of pairs of checkstays</v>
      </c>
      <c r="K31" s="145" t="str">
        <f>LOOKUP($A$1,'Lang Rig'!$A$3:$A$9,'Lang Rig'!K33:K39)</f>
        <v>（フラクショナルリグの前傾スプレッダー）</v>
      </c>
      <c r="L31" s="145" t="str">
        <f>LOOKUP($A$1,'Lang Rig'!$A$3:$A$9,'Lang Rig'!L33:L39)</f>
        <v>バックステイを含む、イラスト参照</v>
      </c>
      <c r="M31" s="602" t="str">
        <f>LOOKUP($A$1,'Lang Rig'!$A$3:$A$9,'Lang Rig'!M33:M39)</f>
        <v>Spreader 振り角</v>
      </c>
      <c r="N31" s="145" t="str">
        <f>LOOKUP($A$1,'Lang Rig'!$A$3:$A$9,'Lang Rig'!N33:N39)</f>
        <v>リグは、標準と違ったり、その他の特徴を持っている</v>
      </c>
      <c r="O31" s="145" t="str">
        <f>LOOKUP($A$1,'Lang Rig'!$A$3:$A$9,'Lang Rig'!O33:O39)</f>
        <v>ルール21.2を参照</v>
      </c>
      <c r="P31" s="145" t="str">
        <f>LOOKUP($A$1,'Lang Rig'!$A$3:$A$9,'Lang Rig'!P33:P39)</f>
        <v>yesの場合、下欄に詳細を記す</v>
      </c>
      <c r="Q31" s="145" t="str">
        <f>LOOKUP($A$1,'Lang Rig'!$A$3:$A$9,'Lang Rig'!Q33:Q39)</f>
        <v>2017年での変更。アフトリギングの定義は、ここをクリック</v>
      </c>
      <c r="R31" s="145" t="str">
        <f>LOOKUP($A$1,'Lang Rig'!$A$3:$A$9,'Lang Rig'!R33:R39)</f>
        <v>アフトリギング図へのリンク</v>
      </c>
      <c r="S31" s="145" t="str">
        <f>LOOKUP($A$1,'Lang Rig'!$A$3:$A$9,'Lang Rig'!S33:S39)</f>
        <v>(Rig and Sails section)</v>
      </c>
      <c r="T31" s="145">
        <f>LOOKUP($A$1,'Lang Rig'!$A$3:$A$7,'Lang Rig'!T33:T37)</f>
        <v>0</v>
      </c>
    </row>
    <row r="32" spans="1:22">
      <c r="M32" s="603"/>
    </row>
    <row r="33" spans="1:19">
      <c r="A33" s="142">
        <v>1</v>
      </c>
      <c r="B33" s="142" t="s">
        <v>3191</v>
      </c>
      <c r="D33" s="30" t="s">
        <v>3224</v>
      </c>
      <c r="E33" s="17" t="s">
        <v>3226</v>
      </c>
      <c r="F33" s="4" t="s">
        <v>4079</v>
      </c>
      <c r="G33" s="30" t="s">
        <v>3228</v>
      </c>
      <c r="H33" s="30" t="s">
        <v>173</v>
      </c>
      <c r="I33" s="30" t="s">
        <v>4429</v>
      </c>
      <c r="J33" s="30" t="s">
        <v>3232</v>
      </c>
      <c r="K33" s="66" t="s">
        <v>2440</v>
      </c>
      <c r="L33" s="53" t="s">
        <v>5468</v>
      </c>
      <c r="M33" s="604" t="s">
        <v>3483</v>
      </c>
      <c r="N33" s="30" t="s">
        <v>2441</v>
      </c>
      <c r="O33" s="30" t="s">
        <v>176</v>
      </c>
      <c r="P33" s="67" t="s">
        <v>4080</v>
      </c>
      <c r="Q33" s="169" t="s">
        <v>4309</v>
      </c>
      <c r="R33" s="142" t="s">
        <v>4310</v>
      </c>
      <c r="S33" s="53" t="s">
        <v>5530</v>
      </c>
    </row>
    <row r="34" spans="1:19">
      <c r="A34" s="142">
        <v>2</v>
      </c>
      <c r="B34" s="142" t="s">
        <v>3192</v>
      </c>
      <c r="D34" s="4" t="s">
        <v>2696</v>
      </c>
      <c r="E34" s="4" t="s">
        <v>3414</v>
      </c>
      <c r="F34" s="4" t="s">
        <v>3415</v>
      </c>
      <c r="G34" s="4" t="s">
        <v>3416</v>
      </c>
      <c r="H34" s="4" t="s">
        <v>3417</v>
      </c>
      <c r="I34" s="4" t="s">
        <v>4428</v>
      </c>
      <c r="J34" s="4" t="s">
        <v>110</v>
      </c>
      <c r="K34" s="68" t="s">
        <v>3879</v>
      </c>
      <c r="L34" s="30" t="s">
        <v>5487</v>
      </c>
      <c r="M34" s="605" t="s">
        <v>3484</v>
      </c>
      <c r="N34" s="4" t="s">
        <v>3880</v>
      </c>
      <c r="O34" s="4" t="s">
        <v>177</v>
      </c>
      <c r="P34" s="69" t="s">
        <v>3882</v>
      </c>
      <c r="Q34" s="4" t="s">
        <v>4319</v>
      </c>
      <c r="R34" s="4" t="s">
        <v>4322</v>
      </c>
      <c r="S34" s="612" t="s">
        <v>5527</v>
      </c>
    </row>
    <row r="35" spans="1:19">
      <c r="A35" s="142">
        <v>3</v>
      </c>
      <c r="B35" s="142" t="s">
        <v>3193</v>
      </c>
      <c r="D35" s="156" t="s">
        <v>2764</v>
      </c>
      <c r="E35" s="123" t="s">
        <v>2765</v>
      </c>
      <c r="F35" s="154" t="s">
        <v>2766</v>
      </c>
      <c r="G35" s="156" t="s">
        <v>2767</v>
      </c>
      <c r="H35" s="156" t="s">
        <v>2768</v>
      </c>
      <c r="I35" s="156" t="s">
        <v>4431</v>
      </c>
      <c r="J35" s="156" t="s">
        <v>2769</v>
      </c>
      <c r="K35" s="165" t="s">
        <v>2770</v>
      </c>
      <c r="L35" s="30" t="s">
        <v>5488</v>
      </c>
      <c r="M35" s="606" t="s">
        <v>3485</v>
      </c>
      <c r="N35" s="156" t="s">
        <v>2771</v>
      </c>
      <c r="O35" s="156" t="s">
        <v>2772</v>
      </c>
      <c r="P35" s="157" t="s">
        <v>2773</v>
      </c>
      <c r="Q35" s="141" t="s">
        <v>4320</v>
      </c>
      <c r="R35" s="156" t="s">
        <v>4323</v>
      </c>
      <c r="S35" s="142" t="s">
        <v>5528</v>
      </c>
    </row>
    <row r="36" spans="1:19">
      <c r="A36" s="142">
        <v>4</v>
      </c>
      <c r="B36" s="142" t="s">
        <v>3194</v>
      </c>
      <c r="D36" s="30"/>
      <c r="E36" s="17"/>
      <c r="F36" s="4"/>
      <c r="G36" s="30"/>
      <c r="H36" s="30"/>
      <c r="J36" s="30"/>
      <c r="K36" s="66"/>
      <c r="L36" s="30"/>
      <c r="M36" s="604"/>
      <c r="N36" s="30"/>
      <c r="O36" s="30"/>
      <c r="P36" s="67"/>
    </row>
    <row r="37" spans="1:19">
      <c r="A37" s="142">
        <v>5</v>
      </c>
      <c r="B37" s="142" t="s">
        <v>3195</v>
      </c>
      <c r="D37" s="156" t="s">
        <v>3722</v>
      </c>
      <c r="E37" s="123" t="s">
        <v>3723</v>
      </c>
      <c r="F37" s="154" t="s">
        <v>3724</v>
      </c>
      <c r="G37" s="156" t="s">
        <v>3725</v>
      </c>
      <c r="H37" s="156" t="s">
        <v>3727</v>
      </c>
      <c r="I37" s="156" t="s">
        <v>4430</v>
      </c>
      <c r="J37" s="156" t="s">
        <v>3726</v>
      </c>
      <c r="K37" s="165" t="s">
        <v>3728</v>
      </c>
      <c r="L37" s="610" t="s">
        <v>5489</v>
      </c>
      <c r="M37" s="606" t="s">
        <v>3486</v>
      </c>
      <c r="N37" s="156" t="s">
        <v>16</v>
      </c>
      <c r="O37" s="156" t="s">
        <v>17</v>
      </c>
      <c r="P37" s="157" t="s">
        <v>18</v>
      </c>
      <c r="Q37" s="29" t="s">
        <v>4321</v>
      </c>
      <c r="R37" s="156" t="s">
        <v>4324</v>
      </c>
      <c r="S37" s="142" t="s">
        <v>5529</v>
      </c>
    </row>
    <row r="38" spans="1:19" ht="14.15">
      <c r="A38" s="160">
        <v>6</v>
      </c>
      <c r="B38" s="160" t="s">
        <v>4173</v>
      </c>
      <c r="D38" s="111" t="s">
        <v>3224</v>
      </c>
      <c r="E38" s="108" t="s">
        <v>3226</v>
      </c>
      <c r="F38" s="112" t="s">
        <v>3126</v>
      </c>
      <c r="G38" s="111" t="s">
        <v>3228</v>
      </c>
      <c r="H38" s="111" t="s">
        <v>173</v>
      </c>
      <c r="I38" s="347" t="s">
        <v>4432</v>
      </c>
      <c r="J38" s="111" t="s">
        <v>3232</v>
      </c>
      <c r="K38" s="110" t="s">
        <v>3127</v>
      </c>
      <c r="L38" t="s">
        <v>5491</v>
      </c>
      <c r="M38" s="604" t="s">
        <v>3487</v>
      </c>
      <c r="N38" s="283" t="s">
        <v>194</v>
      </c>
      <c r="O38" s="111" t="s">
        <v>3128</v>
      </c>
      <c r="P38" s="113" t="s">
        <v>3129</v>
      </c>
      <c r="Q38" s="537" t="s">
        <v>4311</v>
      </c>
      <c r="R38" s="347" t="s">
        <v>4312</v>
      </c>
      <c r="S38" s="53" t="s">
        <v>5530</v>
      </c>
    </row>
    <row r="39" spans="1:19" s="510" customFormat="1">
      <c r="A39" s="510">
        <v>7</v>
      </c>
      <c r="B39" s="510" t="s">
        <v>4775</v>
      </c>
      <c r="D39" s="514" t="s">
        <v>4946</v>
      </c>
      <c r="E39" s="516" t="s">
        <v>4947</v>
      </c>
      <c r="F39" s="517" t="s">
        <v>4948</v>
      </c>
      <c r="G39" s="514" t="s">
        <v>4949</v>
      </c>
      <c r="H39" s="514" t="s">
        <v>4950</v>
      </c>
      <c r="I39" s="514" t="s">
        <v>4951</v>
      </c>
      <c r="J39" s="514" t="s">
        <v>4952</v>
      </c>
      <c r="K39" s="518" t="s">
        <v>4953</v>
      </c>
      <c r="L39" s="53" t="s">
        <v>5468</v>
      </c>
      <c r="M39" s="607" t="s">
        <v>4954</v>
      </c>
      <c r="N39" s="514" t="s">
        <v>4955</v>
      </c>
      <c r="O39" s="514" t="s">
        <v>4956</v>
      </c>
      <c r="P39" s="519" t="s">
        <v>4957</v>
      </c>
      <c r="Q39" s="535" t="s">
        <v>4958</v>
      </c>
      <c r="R39" s="510" t="s">
        <v>4959</v>
      </c>
      <c r="S39" s="53" t="s">
        <v>5530</v>
      </c>
    </row>
    <row r="40" spans="1:19">
      <c r="D40" s="30"/>
      <c r="E40" s="17"/>
      <c r="F40" s="4"/>
      <c r="G40" s="30"/>
      <c r="H40" s="30"/>
      <c r="I40" s="30"/>
      <c r="J40" s="30"/>
      <c r="K40" s="66"/>
      <c r="L40" s="66"/>
      <c r="M40" s="30"/>
      <c r="N40" s="30"/>
      <c r="O40" s="30"/>
      <c r="P40" s="67"/>
      <c r="Q40" s="29"/>
    </row>
    <row r="41" spans="1:19" s="145" customFormat="1">
      <c r="B41" s="145" t="s">
        <v>3190</v>
      </c>
      <c r="D41" s="145" t="str">
        <f>LOOKUP($A$1,'Lang Rig'!$A$3:$A$9,'Lang Rig'!D43:D49)</f>
        <v>Standing rigging material</v>
      </c>
      <c r="E41" s="145" t="str">
        <f>LOOKUP($A$1,'Lang Rig'!$A$3:$A$9,'Lang Rig'!E43:E49)</f>
        <v>’その他’の場合、詳細を記す</v>
      </c>
      <c r="F41" s="145" t="str">
        <f>LOOKUP($A$1,'Lang Rig'!$A$3:$A$9,'Lang Rig'!F43:F49)</f>
        <v>ヘッドセイルが１枚の場合：シングルファーリングヘッドセイル該当でIRC規則21.8.1を満たしているか？</v>
      </c>
      <c r="G41" s="145" t="str">
        <f>LOOKUP($A$1,'Lang Rig'!$A$3:$A$9,'Lang Rig'!G43:G49)</f>
        <v xml:space="preserve">Is in-mast furling fitted?  </v>
      </c>
      <c r="H41" s="145" t="str">
        <f>LOOKUP($A$1,'Lang Rig'!$A$3:$A$9,'Lang Rig'!H43:H49)</f>
        <v>ヘッドセイルデータが入力された場合、LP/Jが表示され、その値が1.30より小さければ、シングルファールヘッドセイルアローワンズは適用されない。</v>
      </c>
      <c r="I41" s="145" t="str">
        <f>LOOKUP($A$1,'Lang Rig'!$A$3:$A$9,'Lang Rig'!I43:I49)</f>
        <v>シングルファールヘッドセイルは非適用　ー　反映されない</v>
      </c>
      <c r="J41" s="145" t="str">
        <f>LOOKUP($A$1,'Lang Rig'!$A$3:$A$9,'Lang Rig'!J43:J49)</f>
        <v>(OSR* storm &amp; heavy weather sailsは除く)</v>
      </c>
      <c r="K41" s="145" t="str">
        <f>LOOKUP($A$1,'Lang Rig'!$A$3:$A$9,'Lang Rig'!K43:K49)</f>
        <v>さらに、OSR* heavy weather jib は積む？</v>
      </c>
      <c r="L41" s="145" t="str">
        <f>LOOKUP($A$1,'Lang Rig'!$A$3:$A$9,'Lang Rig'!L43:L49)</f>
        <v>dayboatですか ?</v>
      </c>
      <c r="M41" s="145" t="str">
        <f>LOOKUP($A$1,'Lang Rig'!$A$3:$A$9,'Lang Rig'!M43:M49)</f>
        <v>IRC Rule 24参照</v>
      </c>
      <c r="N41" s="145" t="str">
        <f>LOOKUP($A$1,'Lang Rig'!$A$3:$A$9,'Lang Rig'!N43:N49)</f>
        <v>OSR* lifelines を装備?</v>
      </c>
      <c r="O41" s="145" t="str">
        <f>LOOKUP($A$1,'Lang Rig'!$A$3:$A$9,'Lang Rig'!O43:O49)</f>
        <v>*World Sailing Offshore Special Regulation 3.14</v>
      </c>
      <c r="P41" s="145" t="str">
        <f>LOOKUP($A$1,'Lang Rig'!$A$3:$A$9,'Lang Rig'!P43:P49)</f>
        <v>*World Sailing Offshore Special Regulation 4.26</v>
      </c>
      <c r="Q41" s="146" t="str">
        <f>LOOKUP($A$1,'Lang Rig'!$A$3:$A$7,'Lang Rig'!Q43:Q47)</f>
        <v>NOTA: Informar las medidas LINEALES del spinnaker (IRC 21.6.2)</v>
      </c>
      <c r="R41" s="145">
        <f>LOOKUP($A$1,'Lang Rig'!$A$3:$A$7,'Lang Rig'!R43:R47)</f>
        <v>0</v>
      </c>
    </row>
    <row r="42" spans="1:19">
      <c r="D42" s="30"/>
      <c r="E42" s="17"/>
      <c r="F42" s="4"/>
      <c r="G42" s="30"/>
      <c r="H42" s="30"/>
      <c r="I42" s="30"/>
      <c r="J42" s="30"/>
      <c r="K42" s="66"/>
      <c r="L42" s="66"/>
      <c r="M42" s="30"/>
      <c r="N42" s="30"/>
      <c r="O42" s="30"/>
      <c r="P42" s="67"/>
      <c r="Q42" s="29"/>
    </row>
    <row r="43" spans="1:19" ht="14.6">
      <c r="A43" s="142">
        <v>1</v>
      </c>
      <c r="B43" s="142" t="s">
        <v>3191</v>
      </c>
      <c r="D43" s="17" t="s">
        <v>1481</v>
      </c>
      <c r="E43" s="30" t="s">
        <v>4081</v>
      </c>
      <c r="F43" s="17" t="s">
        <v>5461</v>
      </c>
      <c r="G43" s="4" t="s">
        <v>4439</v>
      </c>
      <c r="H43" s="17" t="s">
        <v>5469</v>
      </c>
      <c r="I43" s="29" t="s">
        <v>5462</v>
      </c>
      <c r="J43" s="67" t="s">
        <v>4441</v>
      </c>
      <c r="K43" s="30" t="s">
        <v>4433</v>
      </c>
      <c r="L43" s="30" t="s">
        <v>3236</v>
      </c>
      <c r="M43" s="29" t="s">
        <v>178</v>
      </c>
      <c r="N43" s="17" t="s">
        <v>4474</v>
      </c>
      <c r="O43" s="4" t="s">
        <v>4477</v>
      </c>
      <c r="P43" s="4" t="s">
        <v>4438</v>
      </c>
      <c r="Q43" s="584" t="s">
        <v>4716</v>
      </c>
    </row>
    <row r="44" spans="1:19" ht="14.6">
      <c r="A44" s="142">
        <v>2</v>
      </c>
      <c r="B44" s="142" t="s">
        <v>3192</v>
      </c>
      <c r="D44" s="4" t="s">
        <v>3883</v>
      </c>
      <c r="E44" s="4" t="s">
        <v>3884</v>
      </c>
      <c r="F44" t="s">
        <v>5478</v>
      </c>
      <c r="G44" s="4" t="s">
        <v>3885</v>
      </c>
      <c r="H44" t="s">
        <v>5481</v>
      </c>
      <c r="I44" t="s">
        <v>5484</v>
      </c>
      <c r="J44" s="53" t="s">
        <v>4442</v>
      </c>
      <c r="K44" s="53" t="s">
        <v>4434</v>
      </c>
      <c r="L44" s="68" t="s">
        <v>3886</v>
      </c>
      <c r="M44" s="4" t="s">
        <v>179</v>
      </c>
      <c r="N44" s="53" t="s">
        <v>4563</v>
      </c>
      <c r="O44" s="4" t="s">
        <v>4477</v>
      </c>
      <c r="P44" s="4" t="s">
        <v>4438</v>
      </c>
      <c r="Q44" s="584" t="s">
        <v>5450</v>
      </c>
    </row>
    <row r="45" spans="1:19" ht="14.6">
      <c r="A45" s="142">
        <v>3</v>
      </c>
      <c r="B45" s="142" t="s">
        <v>3193</v>
      </c>
      <c r="D45" s="156" t="s">
        <v>2774</v>
      </c>
      <c r="E45" s="123" t="s">
        <v>2775</v>
      </c>
      <c r="F45" t="s">
        <v>5479</v>
      </c>
      <c r="G45" s="156" t="s">
        <v>4440</v>
      </c>
      <c r="H45" t="s">
        <v>5482</v>
      </c>
      <c r="I45" t="s">
        <v>5485</v>
      </c>
      <c r="J45" s="156" t="s">
        <v>4443</v>
      </c>
      <c r="K45" s="165" t="s">
        <v>4435</v>
      </c>
      <c r="L45" s="165" t="s">
        <v>3431</v>
      </c>
      <c r="M45" s="156" t="s">
        <v>3432</v>
      </c>
      <c r="N45" s="156" t="s">
        <v>4564</v>
      </c>
      <c r="O45" s="4" t="s">
        <v>4477</v>
      </c>
      <c r="P45" s="4" t="s">
        <v>4438</v>
      </c>
      <c r="Q45" s="584" t="s">
        <v>5451</v>
      </c>
    </row>
    <row r="46" spans="1:19">
      <c r="A46" s="142">
        <v>4</v>
      </c>
      <c r="B46" s="142" t="s">
        <v>3194</v>
      </c>
      <c r="D46" s="30"/>
      <c r="E46" s="17"/>
      <c r="F46"/>
      <c r="G46" s="30"/>
      <c r="H46"/>
      <c r="I46"/>
      <c r="J46" s="30"/>
      <c r="K46" s="66"/>
      <c r="L46" s="66"/>
      <c r="M46" s="30"/>
      <c r="N46" s="30"/>
      <c r="O46" s="4"/>
      <c r="P46" s="4"/>
      <c r="Q46" s="29"/>
    </row>
    <row r="47" spans="1:19" ht="14.6">
      <c r="A47" s="142">
        <v>5</v>
      </c>
      <c r="B47" s="142" t="s">
        <v>3195</v>
      </c>
      <c r="D47" s="156" t="s">
        <v>19</v>
      </c>
      <c r="E47" s="123" t="s">
        <v>20</v>
      </c>
      <c r="F47" t="s">
        <v>5480</v>
      </c>
      <c r="G47" s="156" t="s">
        <v>21</v>
      </c>
      <c r="H47" s="609" t="s">
        <v>5483</v>
      </c>
      <c r="I47" s="609" t="s">
        <v>5486</v>
      </c>
      <c r="J47" s="156" t="s">
        <v>4444</v>
      </c>
      <c r="K47" s="165" t="s">
        <v>4436</v>
      </c>
      <c r="L47" s="165" t="s">
        <v>22</v>
      </c>
      <c r="M47" s="156" t="s">
        <v>23</v>
      </c>
      <c r="N47" s="156" t="s">
        <v>4475</v>
      </c>
      <c r="O47" s="4" t="s">
        <v>4477</v>
      </c>
      <c r="P47" s="4" t="s">
        <v>4438</v>
      </c>
      <c r="Q47" s="584" t="s">
        <v>5452</v>
      </c>
    </row>
    <row r="48" spans="1:19" ht="14.6">
      <c r="A48" s="160">
        <v>6</v>
      </c>
      <c r="B48" s="160" t="s">
        <v>4173</v>
      </c>
      <c r="D48" s="108" t="s">
        <v>1481</v>
      </c>
      <c r="E48" s="283" t="s">
        <v>193</v>
      </c>
      <c r="F48" t="s">
        <v>5494</v>
      </c>
      <c r="G48" s="4" t="s">
        <v>4439</v>
      </c>
      <c r="H48" t="s">
        <v>5492</v>
      </c>
      <c r="I48" t="s">
        <v>5493</v>
      </c>
      <c r="J48" s="113" t="s">
        <v>4445</v>
      </c>
      <c r="K48" s="111" t="s">
        <v>4437</v>
      </c>
      <c r="L48" s="111" t="s">
        <v>1451</v>
      </c>
      <c r="M48" s="114" t="s">
        <v>3145</v>
      </c>
      <c r="N48" s="108" t="s">
        <v>4476</v>
      </c>
      <c r="O48" s="4" t="s">
        <v>4477</v>
      </c>
      <c r="P48" s="4" t="s">
        <v>4438</v>
      </c>
      <c r="Q48" s="584" t="s">
        <v>4716</v>
      </c>
    </row>
    <row r="49" spans="1:17" s="510" customFormat="1" ht="12.9">
      <c r="A49" s="510">
        <v>7</v>
      </c>
      <c r="B49" s="510" t="s">
        <v>4775</v>
      </c>
      <c r="D49" s="510" t="s">
        <v>4971</v>
      </c>
      <c r="E49" s="510" t="s">
        <v>4972</v>
      </c>
      <c r="F49" s="17" t="s">
        <v>5461</v>
      </c>
      <c r="G49" s="510" t="s">
        <v>4973</v>
      </c>
      <c r="H49" s="17" t="s">
        <v>5469</v>
      </c>
      <c r="I49" s="29" t="s">
        <v>5462</v>
      </c>
      <c r="J49" s="539" t="s">
        <v>4975</v>
      </c>
      <c r="K49" s="510" t="s">
        <v>4976</v>
      </c>
      <c r="L49" s="510" t="s">
        <v>4977</v>
      </c>
      <c r="M49" s="510" t="s">
        <v>4978</v>
      </c>
      <c r="N49" s="510" t="s">
        <v>4979</v>
      </c>
      <c r="O49" s="510" t="s">
        <v>4477</v>
      </c>
      <c r="P49" s="510" t="s">
        <v>4438</v>
      </c>
      <c r="Q49" s="523"/>
    </row>
    <row r="51" spans="1:17" s="145" customFormat="1">
      <c r="B51" s="145" t="s">
        <v>3190</v>
      </c>
      <c r="D51" s="145" t="str">
        <f>LOOKUP($A$1,'Lang Rig'!$A$3:$A$9,'Lang Rig'!D53:D59)</f>
        <v>SAILS</v>
      </c>
      <c r="E51" s="145" t="str">
        <f>LOOKUP($A$1,'Lang Rig'!$A$3:$A$9,'Lang Rig'!E53:E59)</f>
        <v>RIG CONFIGURATION</v>
      </c>
      <c r="F51" s="145" t="str">
        <f>LOOKUP($A$1,'Lang Rig'!$A$3:$A$9,'Lang Rig'!F53:F59)</f>
        <v>（3枚未満でもレーティングに影響なし）</v>
      </c>
      <c r="G51" s="573" t="str">
        <f>LOOKUP($A$1,'Lang Rig'!$A$3:$A$9,'Lang Rig'!G53:G59)</f>
        <v>If the boat has no running backstays, checkstays or adjustable backstay, tick here</v>
      </c>
      <c r="H51" s="145" t="str">
        <f>LOOKUP($A$1,'Lang Rig'!$A$3:$A$9,'Lang Rig'!H53:H59)</f>
        <v>ツインマストリグ　－　PART 2参照</v>
      </c>
      <c r="I51" s="145" t="str">
        <f>LOOKUP($A$1,'Lang Rig'!$A$3:$A$9,'Lang Rig'!I53:I59)</f>
        <v>ミズンアッパーリミット</v>
      </c>
      <c r="J51" s="145" t="str">
        <f>LOOKUP($A$1,'Lang Rig'!$A$3:$A$9,'Lang Rig'!J53:J59)</f>
        <v>ミズンアウターリミット</v>
      </c>
      <c r="K51" s="145" t="str">
        <f>LOOKUP($A$1,'Lang Rig'!$A$3:$A$9,'Lang Rig'!K53:K59)</f>
        <v>エンドースド証書には、セールの公認メジャラーによる計測が必要</v>
      </c>
      <c r="L51" s="145" t="str">
        <f>LOOKUP($A$1,'Lang Rig'!$A$3:$A$9,'Lang Rig'!L53:L59)</f>
        <v>ファーリングヘッドセール装備の場合、以下に答えてください</v>
      </c>
      <c r="M51" s="145" t="str">
        <f>LOOKUP($A$1,'Lang Rig'!$A$3:$A$9,'Lang Rig'!M53:M59)</f>
        <v>リグもしくはセール調整のための蓄力</v>
      </c>
      <c r="N51" s="145" t="str">
        <f>LOOKUP($A$1,'Lang Rig'!$A$3:$A$9,'Lang Rig'!N53:N59)</f>
        <v>レース中のマストフット調整システム</v>
      </c>
      <c r="O51" s="145" t="str">
        <f>LOOKUP($A$1,'Lang Rig'!$A$3:$A$9,'Lang Rig'!O53:O59)</f>
        <v>レース中のフォアステー長さ調整システム</v>
      </c>
      <c r="P51" s="145">
        <f>LOOKUP($A$1,'Lang Rig'!$A$3:$A$9,'Lang Rig'!P53:P59)</f>
        <v>0</v>
      </c>
      <c r="Q51" s="146"/>
    </row>
    <row r="52" spans="1:17">
      <c r="D52" s="169"/>
      <c r="F52" s="168"/>
      <c r="G52" s="574"/>
    </row>
    <row r="53" spans="1:17">
      <c r="A53" s="142">
        <v>1</v>
      </c>
      <c r="B53" s="142" t="s">
        <v>3191</v>
      </c>
      <c r="D53" s="142" t="s">
        <v>2277</v>
      </c>
      <c r="E53" s="142" t="s">
        <v>2278</v>
      </c>
      <c r="F53" s="142" t="s">
        <v>3130</v>
      </c>
      <c r="G53" s="63" t="s">
        <v>4453</v>
      </c>
      <c r="H53" s="53" t="s">
        <v>4575</v>
      </c>
      <c r="I53" s="53" t="s">
        <v>4404</v>
      </c>
      <c r="J53" s="53" t="s">
        <v>4405</v>
      </c>
      <c r="K53" s="53" t="s">
        <v>4426</v>
      </c>
      <c r="L53" s="53" t="s">
        <v>4446</v>
      </c>
      <c r="M53" s="53" t="s">
        <v>4458</v>
      </c>
      <c r="N53" s="29" t="s">
        <v>4460</v>
      </c>
      <c r="O53" s="29" t="s">
        <v>4466</v>
      </c>
      <c r="P53" s="53"/>
    </row>
    <row r="54" spans="1:17">
      <c r="A54" s="142">
        <v>2</v>
      </c>
      <c r="B54" s="142" t="s">
        <v>3192</v>
      </c>
      <c r="D54" s="142" t="s">
        <v>2279</v>
      </c>
      <c r="E54" s="142" t="s">
        <v>2282</v>
      </c>
      <c r="F54" s="53" t="s">
        <v>4561</v>
      </c>
      <c r="G54" s="63" t="s">
        <v>4454</v>
      </c>
      <c r="H54" s="53" t="s">
        <v>4576</v>
      </c>
      <c r="I54" s="53" t="s">
        <v>4579</v>
      </c>
      <c r="J54" s="53" t="s">
        <v>4617</v>
      </c>
      <c r="K54" s="53" t="s">
        <v>5347</v>
      </c>
      <c r="L54" s="53" t="s">
        <v>4587</v>
      </c>
      <c r="M54" s="53" t="s">
        <v>4590</v>
      </c>
      <c r="N54" s="4" t="s">
        <v>4461</v>
      </c>
      <c r="O54" s="53" t="s">
        <v>4463</v>
      </c>
    </row>
    <row r="55" spans="1:17">
      <c r="A55" s="142">
        <v>3</v>
      </c>
      <c r="B55" s="142" t="s">
        <v>3193</v>
      </c>
      <c r="D55" s="142" t="s">
        <v>2280</v>
      </c>
      <c r="E55" s="142" t="s">
        <v>2283</v>
      </c>
      <c r="F55" s="53" t="s">
        <v>4562</v>
      </c>
      <c r="G55" s="63" t="s">
        <v>4455</v>
      </c>
      <c r="H55" s="53" t="s">
        <v>4577</v>
      </c>
      <c r="I55" s="53" t="s">
        <v>4580</v>
      </c>
      <c r="J55" s="53" t="s">
        <v>4618</v>
      </c>
      <c r="K55" s="53" t="s">
        <v>4585</v>
      </c>
      <c r="L55" s="53" t="s">
        <v>4588</v>
      </c>
      <c r="M55" s="53" t="s">
        <v>4591</v>
      </c>
      <c r="N55" s="297" t="s">
        <v>4459</v>
      </c>
      <c r="O55" s="53" t="s">
        <v>4464</v>
      </c>
    </row>
    <row r="56" spans="1:17">
      <c r="A56" s="142">
        <v>4</v>
      </c>
      <c r="B56" s="142" t="s">
        <v>3194</v>
      </c>
      <c r="F56"/>
      <c r="G56" s="63"/>
      <c r="H56" s="53"/>
      <c r="I56" s="53"/>
      <c r="J56" s="307"/>
      <c r="K56" s="53"/>
      <c r="L56" s="53"/>
      <c r="M56" s="53"/>
      <c r="O56"/>
    </row>
    <row r="57" spans="1:17">
      <c r="A57" s="142">
        <v>5</v>
      </c>
      <c r="B57" s="142" t="s">
        <v>3195</v>
      </c>
      <c r="D57" s="142" t="s">
        <v>2281</v>
      </c>
      <c r="E57" s="142" t="s">
        <v>27</v>
      </c>
      <c r="F57" t="s">
        <v>4263</v>
      </c>
      <c r="G57" s="63" t="s">
        <v>4456</v>
      </c>
      <c r="H57" s="53" t="s">
        <v>5510</v>
      </c>
      <c r="I57" s="400" t="s">
        <v>5535</v>
      </c>
      <c r="J57" s="400" t="s">
        <v>5536</v>
      </c>
      <c r="K57" s="53" t="s">
        <v>5512</v>
      </c>
      <c r="L57" s="307" t="s">
        <v>4446</v>
      </c>
      <c r="M57" s="400" t="s">
        <v>5531</v>
      </c>
      <c r="N57" s="297" t="s">
        <v>4462</v>
      </c>
      <c r="O57" s="53" t="s">
        <v>4465</v>
      </c>
    </row>
    <row r="58" spans="1:17" ht="14.15">
      <c r="A58" s="160">
        <v>6</v>
      </c>
      <c r="B58" s="160" t="s">
        <v>4173</v>
      </c>
      <c r="D58" s="142" t="s">
        <v>2277</v>
      </c>
      <c r="E58" s="142" t="s">
        <v>2278</v>
      </c>
      <c r="F58" s="308" t="s">
        <v>1899</v>
      </c>
      <c r="G58" s="575" t="s">
        <v>4457</v>
      </c>
      <c r="H58" s="53" t="s">
        <v>4578</v>
      </c>
      <c r="I58" s="53" t="s">
        <v>4581</v>
      </c>
      <c r="J58" s="53" t="s">
        <v>4582</v>
      </c>
      <c r="K58" s="53" t="s">
        <v>4586</v>
      </c>
      <c r="L58" s="53" t="s">
        <v>4589</v>
      </c>
      <c r="M58" s="53" t="s">
        <v>4592</v>
      </c>
      <c r="N58" s="29" t="s">
        <v>4593</v>
      </c>
      <c r="O58" s="29" t="s">
        <v>4594</v>
      </c>
    </row>
    <row r="59" spans="1:17" s="510" customFormat="1">
      <c r="A59" s="510">
        <v>7</v>
      </c>
      <c r="B59" s="510" t="s">
        <v>4775</v>
      </c>
      <c r="D59" s="510" t="s">
        <v>2281</v>
      </c>
      <c r="E59" s="510" t="s">
        <v>4960</v>
      </c>
      <c r="F59" s="510" t="s">
        <v>4961</v>
      </c>
      <c r="G59" s="576" t="s">
        <v>4962</v>
      </c>
      <c r="H59" s="510" t="s">
        <v>4963</v>
      </c>
      <c r="I59" s="510" t="s">
        <v>4964</v>
      </c>
      <c r="J59" s="510" t="s">
        <v>4965</v>
      </c>
      <c r="K59" s="510" t="s">
        <v>4966</v>
      </c>
      <c r="L59" s="510" t="s">
        <v>4967</v>
      </c>
      <c r="M59" s="510" t="s">
        <v>4969</v>
      </c>
      <c r="N59" s="510" t="s">
        <v>4968</v>
      </c>
      <c r="O59" s="510" t="s">
        <v>4970</v>
      </c>
      <c r="Q59" s="523"/>
    </row>
    <row r="61" spans="1:17" s="145" customFormat="1">
      <c r="B61" s="145" t="s">
        <v>3190</v>
      </c>
      <c r="D61" s="145" t="str">
        <f>LOOKUP($A$1,'Lang Rig'!$A$3:$A$9,'Lang Rig'!D63:D69)</f>
        <v>メインセール幅デフォルト値</v>
      </c>
      <c r="E61" s="145" t="str">
        <f>LOOKUP($A$1,'Lang Rig'!$A$3:$A$9,'Lang Rig'!E63:E69)</f>
        <v>データの申告がない場合、次の値が採用されます：</v>
      </c>
      <c r="F61" s="145">
        <f>LOOKUP($A$1,'Lang Rig'!$A$3:$A$9,'Lang Rig'!F63:F69)</f>
        <v>0</v>
      </c>
      <c r="G61" s="145" t="str">
        <f>LOOKUP($A$1,'Lang Rig'!$A$3:$A$9,'Lang Rig'!G63:G69)</f>
        <v>*申告がなければ、HLUmaxがHLUとして入力されます。定義を確認し、HLUよりも長いラフレングスを持つヘッドセイルがある場合、その値を申告すること</v>
      </c>
      <c r="H61" s="145" t="str">
        <f>LOOKUP($A$1,'Lang Rig'!$A$3:$A$9,'Lang Rig'!H63:H69)</f>
        <v>簡易セイル計測ガイド（エンドースド証書には適用不可）</v>
      </c>
      <c r="I61" s="145" t="str">
        <f>LOOKUP($A$1,'Lang Rig'!$A$3:$A$9,'Lang Rig'!I63:I69)</f>
        <v>計算に使われるE</v>
      </c>
      <c r="J61" s="145" t="str">
        <f>LOOKUP($A$1,'Lang Rig'!$A$3:$A$9,'Lang Rig'!J63:J69)</f>
        <v>セールのサイズがこれよりも大きい場合は、規則21.5.2に従い、実データを申告してください</v>
      </c>
      <c r="K61" s="145" t="str">
        <f>LOOKUP($A$1,'Lang Rig'!$A$3:$A$9,'Lang Rig'!K63:K69)</f>
        <v>セールのサイズがこれよりも小さい場合は、申告者の判断で、実データの申告ができます</v>
      </c>
      <c r="L61" s="145" t="str">
        <f>LOOKUP($A$1,'Lang Rig'!$A$3:$A$9,'Lang Rig'!L63:L69)</f>
        <v>上でポールのタイプを選択し、STL/SPL値を申告していること</v>
      </c>
      <c r="M61" s="145" t="str">
        <f>LOOKUP($A$1,'Lang Rig'!$A$3:$A$9,'Lang Rig'!M63:M69)</f>
        <v>セイルメーカーもしくはメジャラーによる計測を推奨するが、ノーマル証書の場合は、自己計測も可</v>
      </c>
      <c r="Q61" s="146"/>
    </row>
    <row r="63" spans="1:17">
      <c r="A63" s="142">
        <v>1</v>
      </c>
      <c r="B63" s="142" t="s">
        <v>3191</v>
      </c>
      <c r="D63" s="142" t="s">
        <v>2273</v>
      </c>
      <c r="E63" s="142" t="s">
        <v>4237</v>
      </c>
      <c r="F63" s="142" t="s">
        <v>2286</v>
      </c>
      <c r="G63" s="53" t="s">
        <v>4419</v>
      </c>
      <c r="H63" s="142" t="s">
        <v>827</v>
      </c>
      <c r="I63" s="142" t="s">
        <v>2379</v>
      </c>
      <c r="J63" s="142" t="s">
        <v>4244</v>
      </c>
      <c r="K63" s="142" t="s">
        <v>3667</v>
      </c>
      <c r="L63" s="53" t="s">
        <v>5243</v>
      </c>
      <c r="M63" s="20" t="s">
        <v>828</v>
      </c>
      <c r="N63" s="53"/>
    </row>
    <row r="64" spans="1:17">
      <c r="A64" s="142">
        <v>2</v>
      </c>
      <c r="B64" s="142" t="s">
        <v>3192</v>
      </c>
      <c r="D64" s="142" t="s">
        <v>2272</v>
      </c>
      <c r="E64" s="142" t="s">
        <v>2274</v>
      </c>
      <c r="G64" s="53" t="s">
        <v>4420</v>
      </c>
      <c r="H64" s="20" t="s">
        <v>5348</v>
      </c>
      <c r="I64" s="142" t="s">
        <v>2461</v>
      </c>
      <c r="J64" s="142" t="s">
        <v>2380</v>
      </c>
      <c r="K64" s="142" t="s">
        <v>857</v>
      </c>
      <c r="L64" s="53" t="s">
        <v>5244</v>
      </c>
      <c r="M64" s="53" t="s">
        <v>1868</v>
      </c>
      <c r="N64" s="53"/>
    </row>
    <row r="65" spans="1:17">
      <c r="A65" s="142">
        <v>3</v>
      </c>
      <c r="B65" s="142" t="s">
        <v>3193</v>
      </c>
      <c r="D65" s="142" t="s">
        <v>402</v>
      </c>
      <c r="E65" s="142" t="s">
        <v>397</v>
      </c>
      <c r="G65" s="53" t="s">
        <v>4421</v>
      </c>
      <c r="H65" s="20" t="s">
        <v>1882</v>
      </c>
      <c r="I65" s="142" t="s">
        <v>648</v>
      </c>
      <c r="J65" s="142" t="s">
        <v>153</v>
      </c>
      <c r="K65" s="142" t="s">
        <v>154</v>
      </c>
      <c r="L65" s="53" t="s">
        <v>5245</v>
      </c>
      <c r="M65" s="53" t="s">
        <v>4556</v>
      </c>
      <c r="N65" s="53"/>
    </row>
    <row r="66" spans="1:17">
      <c r="A66" s="142">
        <v>4</v>
      </c>
      <c r="B66" s="142" t="s">
        <v>3194</v>
      </c>
      <c r="H66" s="142" t="s">
        <v>827</v>
      </c>
      <c r="M66" s="217"/>
    </row>
    <row r="67" spans="1:17">
      <c r="A67" s="142">
        <v>5</v>
      </c>
      <c r="B67" s="142" t="s">
        <v>3195</v>
      </c>
      <c r="D67" s="142" t="s">
        <v>403</v>
      </c>
      <c r="E67" s="142" t="s">
        <v>398</v>
      </c>
      <c r="G67" s="53" t="s">
        <v>4422</v>
      </c>
      <c r="H67" s="281" t="s">
        <v>33</v>
      </c>
      <c r="I67" s="142" t="s">
        <v>96</v>
      </c>
      <c r="J67" s="142" t="s">
        <v>155</v>
      </c>
      <c r="K67" s="142" t="s">
        <v>107</v>
      </c>
      <c r="L67" s="53" t="s">
        <v>5246</v>
      </c>
      <c r="M67" s="20" t="s">
        <v>34</v>
      </c>
      <c r="N67" s="545"/>
    </row>
    <row r="68" spans="1:17" s="139" customFormat="1" ht="14.15">
      <c r="A68" s="160">
        <v>6</v>
      </c>
      <c r="B68" s="160" t="s">
        <v>4173</v>
      </c>
      <c r="D68" s="139" t="s">
        <v>3925</v>
      </c>
      <c r="E68" s="139" t="s">
        <v>3411</v>
      </c>
      <c r="G68" s="139" t="s">
        <v>4423</v>
      </c>
      <c r="H68" s="139" t="s">
        <v>886</v>
      </c>
      <c r="I68" s="139" t="s">
        <v>3412</v>
      </c>
      <c r="J68" s="139" t="s">
        <v>3413</v>
      </c>
      <c r="K68" s="139" t="s">
        <v>3751</v>
      </c>
      <c r="L68" s="139" t="s">
        <v>5247</v>
      </c>
      <c r="M68" s="139" t="s">
        <v>887</v>
      </c>
      <c r="Q68" s="538"/>
    </row>
    <row r="69" spans="1:17" s="510" customFormat="1">
      <c r="A69" s="510">
        <v>7</v>
      </c>
      <c r="B69" s="510" t="s">
        <v>4775</v>
      </c>
      <c r="D69" s="510" t="s">
        <v>4980</v>
      </c>
      <c r="E69" s="510" t="s">
        <v>4981</v>
      </c>
      <c r="G69" s="510" t="s">
        <v>4982</v>
      </c>
      <c r="H69" s="510" t="s">
        <v>4983</v>
      </c>
      <c r="I69" s="510" t="s">
        <v>4984</v>
      </c>
      <c r="J69" s="510" t="s">
        <v>4985</v>
      </c>
      <c r="K69" s="510" t="s">
        <v>4986</v>
      </c>
      <c r="L69" s="510" t="s">
        <v>5248</v>
      </c>
      <c r="M69" s="510" t="s">
        <v>4987</v>
      </c>
      <c r="Q69" s="523"/>
    </row>
    <row r="71" spans="1:17">
      <c r="A71" s="145"/>
      <c r="B71" s="145" t="s">
        <v>3190</v>
      </c>
      <c r="C71" s="145"/>
      <c r="D71" s="145" t="str">
        <f>LOOKUP($A$1,'Lang Rig'!$A$3:$A$9,'Lang Rig'!D73:D79)</f>
        <v>レース中搭載するフライングヘッドセールの数</v>
      </c>
      <c r="E71" s="145" t="str">
        <f>LOOKUP($A$1,'Lang Rig'!$A$3:$A$9,'Lang Rig'!E73:E79)</f>
        <v>Flying headsail foot</v>
      </c>
      <c r="F71" s="145" t="str">
        <f>LOOKUP($A$1,'Lang Rig'!$A$3:$A$9,'Lang Rig'!F73:F79)</f>
        <v>Flying headsail half width</v>
      </c>
      <c r="G71" s="145" t="str">
        <f>LOOKUP($A$1,'Lang Rig'!$A$3:$A$9,'Lang Rig'!G73:G79)</f>
        <v>Flying headsail luff length</v>
      </c>
      <c r="H71" s="145" t="str">
        <f>LOOKUP($A$1,'Lang Rig'!$A$3:$A$9,'Lang Rig'!H73:H79)</f>
        <v>Flying headsail perpendicular</v>
      </c>
      <c r="I71" s="145" t="str">
        <f>LOOKUP($A$1,'Lang Rig'!$A$3:$A$9,'Lang Rig'!I73:I79)</f>
        <v>Flying headsail upper (7/8) width</v>
      </c>
      <c r="J71" s="145" t="str">
        <f>LOOKUP($A$1,'Lang Rig'!$A$3:$A$9,'Lang Rig'!J73:J79)</f>
        <v>Flying headsail 3/4 width</v>
      </c>
      <c r="K71" s="145" t="str">
        <f>LOOKUP($A$1,'Lang Rig'!$A$3:$A$9,'Lang Rig'!K73:K79)</f>
        <v>Flying headsail 1/2 width</v>
      </c>
      <c r="L71" s="145" t="str">
        <f>LOOKUP($A$1,'Lang Rig'!$A$3:$A$9,'Lang Rig'!L73:L79)</f>
        <v>付則A5の定義による</v>
      </c>
      <c r="M71" s="145" t="str">
        <f>LOOKUP($A$1,'Lang Rig'!$A$3:$A$9,'Lang Rig'!M73:M79)</f>
        <v>Foot Offset   if &gt;7.5% FHLP</v>
      </c>
      <c r="N71" s="145" t="str">
        <f>LOOKUP($A$1,'Lang Rig'!$A$3:$A$9,'Lang Rig'!N73:N79)</f>
        <v>MAINSAIL</v>
      </c>
      <c r="O71" s="145" t="str">
        <f>LOOKUP($A$1,'Lang Rig'!$A$3:$A$9,'Lang Rig'!O73:O79)</f>
        <v>HEADSAIL</v>
      </c>
      <c r="P71" s="145" t="str">
        <f>LOOKUP($A$1,'Lang Rig'!$A$3:$A$9,'Lang Rig'!P73:P79)</f>
        <v>FLYING HEADSAIL</v>
      </c>
      <c r="Q71" s="145" t="str">
        <f>LOOKUP($A$1,'Lang Rig'!$A$3:$A$9,'Lang Rig'!Q73:Q79)</f>
        <v>SPINNAKERS</v>
      </c>
    </row>
    <row r="72" spans="1:17">
      <c r="Q72" s="142"/>
    </row>
    <row r="73" spans="1:17">
      <c r="A73" s="142">
        <v>1</v>
      </c>
      <c r="B73" s="142" t="s">
        <v>3191</v>
      </c>
      <c r="D73" s="53" t="s">
        <v>5233</v>
      </c>
      <c r="E73" s="53" t="s">
        <v>5235</v>
      </c>
      <c r="F73" s="53" t="s">
        <v>5234</v>
      </c>
      <c r="G73" s="53" t="s">
        <v>5242</v>
      </c>
      <c r="H73" s="53" t="s">
        <v>5236</v>
      </c>
      <c r="I73" s="53" t="s">
        <v>5237</v>
      </c>
      <c r="J73" s="53" t="s">
        <v>5238</v>
      </c>
      <c r="K73" s="53" t="s">
        <v>5239</v>
      </c>
      <c r="L73" s="53" t="s">
        <v>5240</v>
      </c>
      <c r="M73" s="53" t="s">
        <v>5334</v>
      </c>
      <c r="N73" s="555" t="s">
        <v>5335</v>
      </c>
      <c r="O73" s="555" t="s">
        <v>5336</v>
      </c>
      <c r="P73" s="555" t="s">
        <v>5337</v>
      </c>
      <c r="Q73" s="555" t="s">
        <v>5358</v>
      </c>
    </row>
    <row r="74" spans="1:17">
      <c r="A74" s="142">
        <v>2</v>
      </c>
      <c r="B74" s="142" t="s">
        <v>3192</v>
      </c>
      <c r="D74" s="142" t="s">
        <v>5258</v>
      </c>
      <c r="E74" s="53" t="s">
        <v>5360</v>
      </c>
      <c r="F74" s="53" t="s">
        <v>5359</v>
      </c>
      <c r="G74" s="53" t="s">
        <v>5287</v>
      </c>
      <c r="H74" s="53" t="s">
        <v>5284</v>
      </c>
      <c r="I74" s="53" t="s">
        <v>5281</v>
      </c>
      <c r="J74" s="53" t="s">
        <v>5278</v>
      </c>
      <c r="K74" s="53" t="s">
        <v>3400</v>
      </c>
      <c r="L74" s="142" t="s">
        <v>5259</v>
      </c>
      <c r="M74" s="53" t="s">
        <v>5349</v>
      </c>
      <c r="N74" s="555" t="s">
        <v>5338</v>
      </c>
      <c r="O74" s="555" t="s">
        <v>5339</v>
      </c>
      <c r="P74" s="555" t="s">
        <v>5340</v>
      </c>
      <c r="Q74" s="555" t="s">
        <v>5358</v>
      </c>
    </row>
    <row r="75" spans="1:17">
      <c r="A75" s="142">
        <v>3</v>
      </c>
      <c r="B75" s="142" t="s">
        <v>3193</v>
      </c>
      <c r="D75" s="142" t="s">
        <v>5260</v>
      </c>
      <c r="E75" s="53" t="s">
        <v>5292</v>
      </c>
      <c r="F75" s="53" t="s">
        <v>5290</v>
      </c>
      <c r="G75" s="53" t="s">
        <v>5288</v>
      </c>
      <c r="H75" s="53" t="s">
        <v>5285</v>
      </c>
      <c r="I75" s="53" t="s">
        <v>5282</v>
      </c>
      <c r="J75" s="53" t="s">
        <v>5279</v>
      </c>
      <c r="K75" s="53" t="s">
        <v>5276</v>
      </c>
      <c r="L75" s="142" t="s">
        <v>5261</v>
      </c>
      <c r="M75" s="53" t="s">
        <v>5350</v>
      </c>
      <c r="N75" s="555" t="s">
        <v>5335</v>
      </c>
      <c r="O75" s="556" t="s">
        <v>5341</v>
      </c>
      <c r="P75" s="555" t="s">
        <v>5344</v>
      </c>
      <c r="Q75" s="555" t="s">
        <v>5358</v>
      </c>
    </row>
    <row r="76" spans="1:17">
      <c r="A76" s="142">
        <v>4</v>
      </c>
      <c r="B76" s="142" t="s">
        <v>3194</v>
      </c>
      <c r="M76" s="53"/>
      <c r="N76" s="555"/>
      <c r="O76" s="557"/>
      <c r="P76" s="555"/>
      <c r="Q76" s="555"/>
    </row>
    <row r="77" spans="1:17">
      <c r="A77" s="142">
        <v>5</v>
      </c>
      <c r="B77" s="142" t="s">
        <v>3195</v>
      </c>
      <c r="D77" s="53" t="s">
        <v>5518</v>
      </c>
      <c r="E77" s="400" t="s">
        <v>5519</v>
      </c>
      <c r="F77" s="400" t="s">
        <v>5520</v>
      </c>
      <c r="G77" s="400" t="s">
        <v>5521</v>
      </c>
      <c r="H77" s="400" t="s">
        <v>5522</v>
      </c>
      <c r="I77" s="400" t="s">
        <v>5523</v>
      </c>
      <c r="J77" s="400" t="s">
        <v>5524</v>
      </c>
      <c r="K77" s="400" t="s">
        <v>5525</v>
      </c>
      <c r="L77" s="400" t="s">
        <v>5526</v>
      </c>
      <c r="M77" s="53" t="s">
        <v>5351</v>
      </c>
      <c r="N77" s="561" t="s">
        <v>5354</v>
      </c>
      <c r="O77" s="556" t="s">
        <v>5342</v>
      </c>
      <c r="P77" s="558" t="s">
        <v>5337</v>
      </c>
      <c r="Q77" s="555" t="s">
        <v>5358</v>
      </c>
    </row>
    <row r="78" spans="1:17" ht="14.15">
      <c r="A78" s="160">
        <v>6</v>
      </c>
      <c r="B78" s="160" t="s">
        <v>3110</v>
      </c>
      <c r="C78" s="139"/>
      <c r="D78" s="139" t="s">
        <v>5262</v>
      </c>
      <c r="E78" s="142" t="s">
        <v>5235</v>
      </c>
      <c r="F78" s="142" t="s">
        <v>5234</v>
      </c>
      <c r="G78" s="142" t="s">
        <v>5242</v>
      </c>
      <c r="H78" s="142" t="s">
        <v>5236</v>
      </c>
      <c r="I78" s="142" t="s">
        <v>5237</v>
      </c>
      <c r="J78" s="142" t="s">
        <v>5238</v>
      </c>
      <c r="K78" s="142" t="s">
        <v>5239</v>
      </c>
      <c r="L78" s="142" t="s">
        <v>5263</v>
      </c>
      <c r="M78" s="53" t="s">
        <v>5334</v>
      </c>
      <c r="N78" s="555" t="s">
        <v>5335</v>
      </c>
      <c r="O78" s="559" t="s">
        <v>5336</v>
      </c>
      <c r="P78" s="555" t="s">
        <v>5337</v>
      </c>
      <c r="Q78" s="555" t="s">
        <v>5358</v>
      </c>
    </row>
    <row r="79" spans="1:17">
      <c r="A79" s="510">
        <v>7</v>
      </c>
      <c r="B79" s="510" t="s">
        <v>4775</v>
      </c>
      <c r="C79" s="510"/>
      <c r="D79" s="510" t="s">
        <v>5264</v>
      </c>
      <c r="E79" s="53" t="s">
        <v>5293</v>
      </c>
      <c r="F79" s="53" t="s">
        <v>5291</v>
      </c>
      <c r="G79" s="53" t="s">
        <v>5289</v>
      </c>
      <c r="H79" s="53" t="s">
        <v>5286</v>
      </c>
      <c r="I79" s="53" t="s">
        <v>5283</v>
      </c>
      <c r="J79" s="53" t="s">
        <v>5280</v>
      </c>
      <c r="K79" s="53" t="s">
        <v>5277</v>
      </c>
      <c r="L79" s="142" t="s">
        <v>5265</v>
      </c>
      <c r="M79" s="545" t="s">
        <v>5334</v>
      </c>
      <c r="N79" s="561" t="s">
        <v>5355</v>
      </c>
      <c r="O79" s="560" t="s">
        <v>5343</v>
      </c>
      <c r="P79" s="561" t="s">
        <v>5356</v>
      </c>
      <c r="Q79" s="561" t="s">
        <v>5357</v>
      </c>
    </row>
    <row r="81" spans="1:4">
      <c r="B81" s="145" t="s">
        <v>3190</v>
      </c>
      <c r="C81" s="145"/>
      <c r="D81" s="145" t="str">
        <f>LOOKUP($A$1,'Lang Rig'!$A$3:$A$9,'Lang Rig'!D83:D89)</f>
        <v>セイル ID:IHC # またはその他の識別子</v>
      </c>
    </row>
    <row r="83" spans="1:4">
      <c r="A83" s="142">
        <v>1</v>
      </c>
      <c r="B83" s="142" t="s">
        <v>3191</v>
      </c>
      <c r="D83" s="53" t="s">
        <v>5551</v>
      </c>
    </row>
    <row r="84" spans="1:4">
      <c r="A84" s="142">
        <v>2</v>
      </c>
      <c r="B84" s="142" t="s">
        <v>3192</v>
      </c>
      <c r="D84" s="53" t="s">
        <v>5664</v>
      </c>
    </row>
    <row r="85" spans="1:4">
      <c r="A85" s="142">
        <v>3</v>
      </c>
      <c r="B85" s="142" t="s">
        <v>3193</v>
      </c>
      <c r="D85" s="53" t="s">
        <v>5552</v>
      </c>
    </row>
    <row r="86" spans="1:4">
      <c r="A86" s="142">
        <v>4</v>
      </c>
      <c r="B86" s="142" t="s">
        <v>3194</v>
      </c>
      <c r="D86" s="53" t="s">
        <v>5551</v>
      </c>
    </row>
    <row r="87" spans="1:4">
      <c r="A87" s="142">
        <v>5</v>
      </c>
      <c r="B87" s="142" t="s">
        <v>3195</v>
      </c>
      <c r="D87" s="53" t="s">
        <v>5553</v>
      </c>
    </row>
    <row r="88" spans="1:4" ht="14.15">
      <c r="A88" s="160">
        <v>6</v>
      </c>
      <c r="B88" s="160" t="s">
        <v>3110</v>
      </c>
      <c r="D88" s="53" t="s">
        <v>5663</v>
      </c>
    </row>
    <row r="89" spans="1:4">
      <c r="A89" s="510">
        <v>7</v>
      </c>
      <c r="B89" s="510" t="s">
        <v>4775</v>
      </c>
      <c r="D89" s="53" t="s">
        <v>5554</v>
      </c>
    </row>
  </sheetData>
  <sheetProtection algorithmName="SHA-512" hashValue="t1Wc/Kou6LhJPxDGymOCQ8YasjRuRnkpEdEclTaOJ9U5tC7bSwA1u4/UtV5iKdIpiUi3q+bxcxBj9k7n4h9EZg==" saltValue="rED+gPNjCloUQu6GDOVU4Q==" spinCount="100000" sheet="1" objects="1" scenarios="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K9" workbookViewId="0">
      <selection activeCell="L21" sqref="L21:M21"/>
    </sheetView>
  </sheetViews>
  <sheetFormatPr defaultColWidth="9.15234375" defaultRowHeight="12.45"/>
  <cols>
    <col min="1" max="1" width="6.4609375" style="142" customWidth="1"/>
    <col min="2" max="2" width="11.4609375" style="142" bestFit="1" customWidth="1"/>
    <col min="3" max="3" width="9.15234375" style="142"/>
    <col min="4" max="4" width="32.53515625" style="20" customWidth="1"/>
    <col min="5" max="5" width="29" style="142" customWidth="1"/>
    <col min="6" max="6" width="12.15234375" style="142" customWidth="1"/>
    <col min="7" max="9" width="9.15234375" style="142"/>
    <col min="10" max="10" width="43.53515625" style="142" customWidth="1"/>
    <col min="11" max="16384" width="9.15234375" style="142"/>
  </cols>
  <sheetData>
    <row r="1" spans="1:32" s="145" customFormat="1">
      <c r="A1" s="145">
        <f>Application!H441</f>
        <v>6</v>
      </c>
      <c r="B1" s="145" t="s">
        <v>3190</v>
      </c>
      <c r="D1" s="145" t="str">
        <f>LOOKUP($A$1,'Lang Other'!$A$3:$A$9,'Lang Other'!D3:D9)</f>
        <v>ENGINE &amp; PROPELLER</v>
      </c>
      <c r="E1" s="145" t="str">
        <f>LOOKUP($A$1,'Lang Other'!$A$3:$A$9,'Lang Other'!E3:E9)</f>
        <v>Engine type</v>
      </c>
      <c r="F1" s="145" t="str">
        <f>LOOKUP($A$1,'Lang Other'!$A$3:$A$9,'Lang Other'!F3:F9)</f>
        <v>Engine weight</v>
      </c>
      <c r="G1" s="145" t="str">
        <f>LOOKUP($A$1,'Lang Other'!$A$3:$A$9,'Lang Other'!G3:G9)</f>
        <v>Make, model &amp; horsepower :</v>
      </c>
      <c r="H1" s="145" t="str">
        <f>LOOKUP($A$1,'Lang Other'!$A$3:$A$9,'Lang Other'!H3:H9)</f>
        <v>Propeller type</v>
      </c>
      <c r="I1" s="145" t="str">
        <f>LOOKUP($A$1,'Lang Other'!$A$3:$A$9,'Lang Other'!I3:I9)</f>
        <v>No. of blades</v>
      </c>
      <c r="J1" s="145" t="str">
        <f>LOOKUP($A$1,'Lang Other'!$A$3:$A$9,'Lang Other'!J3:J9)</f>
        <v>default for inboard = 2</v>
      </c>
      <c r="K1" s="145" t="str">
        <f>LOOKUP($A$1,'Lang Other'!$A$3:$A$9,'Lang Other'!K3:K9)</f>
        <v>プロペラ数</v>
      </c>
      <c r="L1" s="145" t="str">
        <f>LOOKUP($A$1,'Lang Other'!$A$3:$A$9,'Lang Other'!L3:L9)</f>
        <v>STANDARD FITOUT</v>
      </c>
      <c r="M1" s="145" t="str">
        <f>LOOKUP($A$1,'Lang Other'!$A$3:$A$9,'Lang Other'!M3:M9)</f>
        <v>スタンダード船内装備で、取り外したり変更したものの詳細を申告して下さい</v>
      </c>
      <c r="N1" s="145" t="str">
        <f>LOOKUP($A$1,'Lang Other'!$A$3:$A$9,'Lang Other'!N3:N9)</f>
        <v>Table removed</v>
      </c>
      <c r="O1" s="145" t="str">
        <f>LOOKUP($A$1,'Lang Other'!$A$3:$A$9,'Lang Other'!O3:O9)</f>
        <v>標準以外のテーブル装備？</v>
      </c>
      <c r="P1" s="145" t="str">
        <f>LOOKUP($A$1,'Lang Other'!$A$3:$A$9,'Lang Other'!P3:P9)</f>
        <v>Doors removed?</v>
      </c>
      <c r="Q1" s="145" t="str">
        <f>LOOKUP($A$1,'Lang Other'!$A$3:$A$9,'Lang Other'!Q3:Q9)</f>
        <v>数</v>
      </c>
      <c r="R1" s="145" t="str">
        <f>LOOKUP($A$1,'Lang Other'!$A$3:$A$9,'Lang Other'!R3:R9)</f>
        <v xml:space="preserve">その他 </v>
      </c>
      <c r="S1" s="145" t="str">
        <f>LOOKUP($A$1,'Lang Other'!$A$3:$A$9,'Lang Other'!S3:S9)</f>
        <v>If Yes, 詳細</v>
      </c>
      <c r="T1" s="145" t="str">
        <f>LOOKUP($A$1,'Lang Other'!$A$3:$A$9,'Lang Other'!T3:T9)</f>
        <v>ルール22.2.2参照 (HF+)</v>
      </c>
      <c r="U1" s="145" t="str">
        <f>LOOKUP($A$1,'Lang Other'!$A$3:$A$9,'Lang Other'!U3:U9)</f>
        <v>とりはずした、もしくは変更した標準家具</v>
      </c>
      <c r="V1" s="145">
        <f>LOOKUP($A$1,'Lang Other'!$A$3:$A$9,'Lang Other'!V3:V9)</f>
        <v>0</v>
      </c>
      <c r="W1" s="145">
        <f>LOOKUP($A$1,'Lang Other'!$A$3:$A$9,'Lang Other'!W3:W9)</f>
        <v>0</v>
      </c>
      <c r="X1" s="145">
        <f>LOOKUP($A$1,'Lang Other'!$A$3:$A$9,'Lang Other'!X3:X9)</f>
        <v>0</v>
      </c>
    </row>
    <row r="3" spans="1:32">
      <c r="A3" s="142">
        <v>1</v>
      </c>
      <c r="B3" s="142" t="s">
        <v>3191</v>
      </c>
      <c r="D3" s="29" t="s">
        <v>617</v>
      </c>
      <c r="E3" s="4" t="s">
        <v>3237</v>
      </c>
      <c r="F3" s="4" t="s">
        <v>2398</v>
      </c>
      <c r="G3" s="29" t="s">
        <v>618</v>
      </c>
      <c r="H3" s="17" t="s">
        <v>2784</v>
      </c>
      <c r="I3" s="29" t="s">
        <v>2778</v>
      </c>
      <c r="J3" s="153" t="s">
        <v>2481</v>
      </c>
      <c r="K3" s="29" t="s">
        <v>2777</v>
      </c>
      <c r="L3" s="29" t="s">
        <v>2265</v>
      </c>
      <c r="M3" s="30" t="s">
        <v>833</v>
      </c>
      <c r="N3" s="30" t="s">
        <v>834</v>
      </c>
      <c r="O3" s="29" t="s">
        <v>2848</v>
      </c>
      <c r="P3" s="30" t="s">
        <v>4642</v>
      </c>
      <c r="Q3" s="30" t="s">
        <v>841</v>
      </c>
      <c r="R3" s="30" t="s">
        <v>846</v>
      </c>
      <c r="S3" s="30" t="s">
        <v>851</v>
      </c>
      <c r="T3" s="29" t="s">
        <v>2454</v>
      </c>
      <c r="U3" s="30" t="s">
        <v>4470</v>
      </c>
    </row>
    <row r="4" spans="1:32">
      <c r="A4" s="142">
        <v>2</v>
      </c>
      <c r="B4" s="142" t="s">
        <v>3192</v>
      </c>
      <c r="D4" s="4" t="s">
        <v>947</v>
      </c>
      <c r="E4" s="4" t="s">
        <v>4054</v>
      </c>
      <c r="F4" s="4" t="s">
        <v>4471</v>
      </c>
      <c r="G4" s="4" t="s">
        <v>4055</v>
      </c>
      <c r="H4" s="142" t="s">
        <v>2785</v>
      </c>
      <c r="I4" s="142" t="s">
        <v>2779</v>
      </c>
      <c r="J4" s="142" t="s">
        <v>1489</v>
      </c>
      <c r="K4" s="4" t="s">
        <v>2782</v>
      </c>
      <c r="L4" s="142" t="s">
        <v>1370</v>
      </c>
      <c r="M4" s="20" t="s">
        <v>1871</v>
      </c>
      <c r="N4" s="4" t="s">
        <v>836</v>
      </c>
      <c r="O4" s="4" t="s">
        <v>4056</v>
      </c>
      <c r="P4" s="4" t="s">
        <v>4643</v>
      </c>
      <c r="Q4" s="4" t="s">
        <v>842</v>
      </c>
      <c r="R4" s="4" t="s">
        <v>847</v>
      </c>
      <c r="S4" s="4" t="s">
        <v>852</v>
      </c>
      <c r="T4" s="4" t="s">
        <v>2455</v>
      </c>
      <c r="U4" s="53" t="s">
        <v>4467</v>
      </c>
    </row>
    <row r="5" spans="1:32">
      <c r="A5" s="142">
        <v>3</v>
      </c>
      <c r="B5" s="142" t="s">
        <v>3193</v>
      </c>
      <c r="D5" s="141" t="s">
        <v>3850</v>
      </c>
      <c r="E5" s="154" t="s">
        <v>3851</v>
      </c>
      <c r="F5" s="154" t="s">
        <v>3852</v>
      </c>
      <c r="G5" s="141" t="s">
        <v>2403</v>
      </c>
      <c r="H5" s="123" t="s">
        <v>2786</v>
      </c>
      <c r="I5" s="141" t="s">
        <v>2780</v>
      </c>
      <c r="J5" s="155" t="s">
        <v>2404</v>
      </c>
      <c r="K5" s="141" t="s">
        <v>2783</v>
      </c>
      <c r="L5" s="141" t="s">
        <v>2405</v>
      </c>
      <c r="M5" s="20" t="s">
        <v>1089</v>
      </c>
      <c r="N5" s="156" t="s">
        <v>837</v>
      </c>
      <c r="O5" s="141" t="s">
        <v>1846</v>
      </c>
      <c r="P5" s="156" t="s">
        <v>1847</v>
      </c>
      <c r="Q5" s="156" t="s">
        <v>853</v>
      </c>
      <c r="R5" s="156" t="s">
        <v>848</v>
      </c>
      <c r="S5" s="156" t="s">
        <v>853</v>
      </c>
      <c r="T5" s="141" t="s">
        <v>2456</v>
      </c>
      <c r="U5" s="53" t="s">
        <v>4469</v>
      </c>
    </row>
    <row r="6" spans="1:32">
      <c r="A6" s="142">
        <v>4</v>
      </c>
      <c r="B6" s="142" t="s">
        <v>3194</v>
      </c>
      <c r="D6" s="29"/>
      <c r="E6" s="4"/>
      <c r="F6" s="4"/>
      <c r="G6" s="29"/>
      <c r="H6" s="17"/>
      <c r="I6" s="29"/>
      <c r="J6" s="153"/>
      <c r="K6" s="29"/>
      <c r="L6" s="29"/>
      <c r="M6" s="30"/>
      <c r="N6" s="30"/>
      <c r="O6" s="29"/>
      <c r="P6" s="30"/>
      <c r="Q6" s="30"/>
      <c r="R6" s="30"/>
      <c r="S6" s="30"/>
      <c r="T6" s="29"/>
      <c r="U6" s="30"/>
    </row>
    <row r="7" spans="1:32">
      <c r="A7" s="142">
        <v>5</v>
      </c>
      <c r="B7" s="142" t="s">
        <v>3195</v>
      </c>
      <c r="D7" s="141" t="s">
        <v>1903</v>
      </c>
      <c r="E7" s="154" t="s">
        <v>1904</v>
      </c>
      <c r="F7" s="154" t="s">
        <v>4472</v>
      </c>
      <c r="G7" s="141" t="s">
        <v>1905</v>
      </c>
      <c r="H7" s="123" t="s">
        <v>2787</v>
      </c>
      <c r="I7" s="141" t="s">
        <v>2781</v>
      </c>
      <c r="J7" s="155" t="s">
        <v>1906</v>
      </c>
      <c r="K7" s="141" t="s">
        <v>2782</v>
      </c>
      <c r="L7" s="141" t="s">
        <v>3429</v>
      </c>
      <c r="M7" s="281" t="s">
        <v>37</v>
      </c>
      <c r="N7" s="156" t="s">
        <v>838</v>
      </c>
      <c r="O7" s="141" t="s">
        <v>3430</v>
      </c>
      <c r="P7" s="156" t="s">
        <v>4644</v>
      </c>
      <c r="Q7" s="156" t="s">
        <v>843</v>
      </c>
      <c r="R7" s="156" t="s">
        <v>849</v>
      </c>
      <c r="S7" s="156" t="s">
        <v>854</v>
      </c>
      <c r="T7" s="141" t="s">
        <v>2457</v>
      </c>
      <c r="U7" s="281" t="s">
        <v>4468</v>
      </c>
    </row>
    <row r="8" spans="1:32" ht="14.15">
      <c r="A8" s="150">
        <v>6</v>
      </c>
      <c r="B8" s="150" t="s">
        <v>4173</v>
      </c>
      <c r="C8" s="152"/>
      <c r="D8" s="114" t="s">
        <v>617</v>
      </c>
      <c r="E8" s="112" t="s">
        <v>3237</v>
      </c>
      <c r="F8" s="112" t="s">
        <v>2398</v>
      </c>
      <c r="G8" s="114" t="s">
        <v>618</v>
      </c>
      <c r="H8" s="108" t="s">
        <v>2784</v>
      </c>
      <c r="I8" s="114" t="s">
        <v>2778</v>
      </c>
      <c r="J8" s="173" t="s">
        <v>2481</v>
      </c>
      <c r="K8" s="114" t="s">
        <v>551</v>
      </c>
      <c r="L8" s="114" t="s">
        <v>2265</v>
      </c>
      <c r="M8" s="111" t="s">
        <v>890</v>
      </c>
      <c r="N8" s="111" t="s">
        <v>834</v>
      </c>
      <c r="O8" s="114" t="s">
        <v>3223</v>
      </c>
      <c r="P8" s="111" t="s">
        <v>4645</v>
      </c>
      <c r="Q8" s="111" t="s">
        <v>844</v>
      </c>
      <c r="R8" s="111" t="s">
        <v>850</v>
      </c>
      <c r="S8" s="111" t="s">
        <v>855</v>
      </c>
      <c r="T8" s="114" t="s">
        <v>2458</v>
      </c>
      <c r="U8" s="111" t="s">
        <v>4595</v>
      </c>
    </row>
    <row r="9" spans="1:32" s="510" customFormat="1">
      <c r="A9" s="510">
        <v>7</v>
      </c>
      <c r="B9" s="510" t="s">
        <v>4775</v>
      </c>
      <c r="D9" s="510" t="s">
        <v>4988</v>
      </c>
      <c r="E9" s="510" t="s">
        <v>1904</v>
      </c>
      <c r="F9" s="510" t="s">
        <v>4989</v>
      </c>
      <c r="G9" s="510" t="s">
        <v>4990</v>
      </c>
      <c r="H9" s="510" t="s">
        <v>4991</v>
      </c>
      <c r="I9" s="510" t="s">
        <v>4992</v>
      </c>
      <c r="J9" s="510" t="s">
        <v>4993</v>
      </c>
      <c r="K9" s="510" t="s">
        <v>4994</v>
      </c>
      <c r="L9" s="510" t="s">
        <v>4995</v>
      </c>
      <c r="M9" s="510" t="s">
        <v>5003</v>
      </c>
      <c r="N9" s="510" t="s">
        <v>4998</v>
      </c>
      <c r="O9" s="510" t="s">
        <v>4996</v>
      </c>
      <c r="P9" s="510" t="s">
        <v>4997</v>
      </c>
      <c r="Q9" s="510" t="s">
        <v>4999</v>
      </c>
      <c r="R9" s="510" t="s">
        <v>5000</v>
      </c>
      <c r="S9" s="510" t="s">
        <v>5001</v>
      </c>
      <c r="T9" s="510" t="s">
        <v>5002</v>
      </c>
      <c r="U9" s="510" t="s">
        <v>5004</v>
      </c>
    </row>
    <row r="11" spans="1:32" s="145" customFormat="1">
      <c r="B11" s="145" t="s">
        <v>3190</v>
      </c>
      <c r="D11" s="145" t="str">
        <f>LOOKUP($A$1,'Lang Other'!$A$3:$A$9,'Lang Other'!D13:D19)</f>
        <v>STORED POWER（動力） &amp; RIG ADJUSTMENT</v>
      </c>
      <c r="E11" s="145" t="str">
        <f>LOOKUP($A$1,'Lang Other'!$A$3:$A$9,'Lang Other'!E13:E19)</f>
        <v>動力をランニングリギン（メインセールハリヤードとセイルのリーフィングおよびファーリングを除く）の操作・調整に使っていますか？</v>
      </c>
      <c r="F11" s="145">
        <f>LOOKUP($A$1,'Lang Other'!$A$3:$A$9,'Lang Other'!F13:F19)</f>
        <v>0</v>
      </c>
      <c r="G11" s="145" t="str">
        <f>LOOKUP($A$1,'Lang Other'!$A$3:$A$9,'Lang Other'!G13:G19)</f>
        <v>マストフットを調整するシステムがボートに備わっている、もしくは、搭載されていますか？(rule 21.1.6 (b))</v>
      </c>
      <c r="H11" s="145">
        <f>LOOKUP($A$1,'Lang Other'!$A$3:$A$9,'Lang Other'!H13:H19)</f>
        <v>0</v>
      </c>
      <c r="I11" s="145" t="str">
        <f>LOOKUP($A$1,'Lang Other'!$A$3:$A$9,'Lang Other'!I13:I19)</f>
        <v>フォアステー：フォアステーを調整するシステムがボートに備わっている、もしくは、搭載されていますか？(rule 21.1.6 (b))</v>
      </c>
      <c r="J11" s="145" t="str">
        <f>LOOKUP($A$1,'Lang Other'!$A$3:$A$9,'Lang Other'!J13:J19)</f>
        <v>オリジナル／標準仕様の変更</v>
      </c>
      <c r="K11" s="145" t="str">
        <f>LOOKUP($A$1,'Lang Other'!$A$3:$A$9,'Lang Other'!K13:K19)</f>
        <v>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v>
      </c>
      <c r="L11" s="145">
        <f>LOOKUP($A$1,'Lang Other'!$A$3:$A$9,'Lang Other'!L13:L19)</f>
        <v>0</v>
      </c>
      <c r="M11" s="145">
        <f>LOOKUP($A$1,'Lang Other'!$A$3:$A$9,'Lang Other'!M13:M19)</f>
        <v>0</v>
      </c>
      <c r="N11" s="145">
        <f>LOOKUP($A$1,'Lang Other'!$A$3:$A$9,'Lang Other'!N13:N19)</f>
        <v>0</v>
      </c>
      <c r="O11" s="145">
        <f>LOOKUP($A$1,'Lang Other'!$A$3:$A$9,'Lang Other'!O13:O19)</f>
        <v>0</v>
      </c>
      <c r="P11" s="145">
        <f>LOOKUP($A$1,'Lang Other'!$A$3:$A$9,'Lang Other'!P13:P19)</f>
        <v>0</v>
      </c>
      <c r="Q11" s="145">
        <f>LOOKUP($A$1,'Lang Other'!$A$3:$A$9,'Lang Other'!Q13:Q19)</f>
        <v>0</v>
      </c>
      <c r="R11" s="145">
        <f>LOOKUP($A$1,'Lang Other'!$A$3:$A$9,'Lang Other'!R13:R19)</f>
        <v>0</v>
      </c>
      <c r="S11" s="145">
        <f>LOOKUP($A$1,'Lang Other'!$A$3:$A$9,'Lang Other'!S13:S19)</f>
        <v>0</v>
      </c>
      <c r="T11" s="145">
        <f>LOOKUP($A$1,'Lang Other'!$A$3:$A$9,'Lang Other'!T13:T19)</f>
        <v>0</v>
      </c>
      <c r="U11" s="145">
        <f>LOOKUP($A$1,'Lang Other'!$A$3:$A$9,'Lang Other'!U13:U19)</f>
        <v>0</v>
      </c>
      <c r="V11" s="145">
        <f>LOOKUP($A$1,'Lang Other'!$A$3:$A$9,'Lang Other'!V13:V19)</f>
        <v>0</v>
      </c>
      <c r="W11" s="145">
        <f>LOOKUP($A$1,'Lang Other'!$A$3:$A$9,'Lang Other'!W13:W19)</f>
        <v>0</v>
      </c>
      <c r="X11" s="145">
        <f>LOOKUP($A$1,'Lang Other'!$A$3:$A$9,'Lang Other'!X13:X19)</f>
        <v>0</v>
      </c>
      <c r="Y11" s="145">
        <f>LOOKUP($A$1,'Lang Other'!$A$3:$A$9,'Lang Other'!Y13:Y19)</f>
        <v>0</v>
      </c>
      <c r="Z11" s="145">
        <f>LOOKUP($A$1,'Lang Other'!$A$3:$A$9,'Lang Other'!Z13:Z19)</f>
        <v>0</v>
      </c>
      <c r="AA11" s="145">
        <f>LOOKUP($A$1,'Lang Other'!$A$3:$A$9,'Lang Other'!AA13:AA19)</f>
        <v>0</v>
      </c>
      <c r="AB11" s="145">
        <f>LOOKUP($A$1,'Lang Other'!$A$3:$A$9,'Lang Other'!AB13:AB19)</f>
        <v>0</v>
      </c>
      <c r="AC11" s="145">
        <f>LOOKUP($A$1,'Lang Other'!$A$3:$A$9,'Lang Other'!AC13:AC19)</f>
        <v>0</v>
      </c>
      <c r="AD11" s="145">
        <f>LOOKUP($A$1,'Lang Other'!$A$3:$A$9,'Lang Other'!AD13:AD19)</f>
        <v>0</v>
      </c>
      <c r="AE11" s="145">
        <f>LOOKUP($A$1,'Lang Other'!$A$3:$A$9,'Lang Other'!AE13:AE19)</f>
        <v>0</v>
      </c>
      <c r="AF11" s="145">
        <f>LOOKUP($A$1,'Lang Other'!$A$3:$A$9,'Lang Other'!AF13:AF19)</f>
        <v>0</v>
      </c>
    </row>
    <row r="12" spans="1:32">
      <c r="F12" s="63"/>
      <c r="H12" s="63"/>
      <c r="L12" s="63"/>
      <c r="M12" s="63"/>
      <c r="N12" s="63"/>
    </row>
    <row r="13" spans="1:32">
      <c r="A13" s="142">
        <v>1</v>
      </c>
      <c r="B13" s="142" t="s">
        <v>3191</v>
      </c>
      <c r="D13" s="29" t="s">
        <v>2266</v>
      </c>
      <c r="E13" s="30" t="s">
        <v>4447</v>
      </c>
      <c r="F13" s="63"/>
      <c r="G13" s="29" t="s">
        <v>4687</v>
      </c>
      <c r="H13" s="31"/>
      <c r="I13" s="29" t="s">
        <v>4709</v>
      </c>
      <c r="J13" s="29" t="s">
        <v>1526</v>
      </c>
      <c r="K13" s="20" t="s">
        <v>1006</v>
      </c>
      <c r="L13" s="63"/>
      <c r="M13" s="70"/>
      <c r="N13" s="63"/>
      <c r="O13" s="20"/>
      <c r="P13" s="20"/>
      <c r="Q13" s="20"/>
    </row>
    <row r="14" spans="1:32">
      <c r="A14" s="142">
        <v>2</v>
      </c>
      <c r="B14" s="142" t="s">
        <v>3192</v>
      </c>
      <c r="D14" s="4" t="s">
        <v>3887</v>
      </c>
      <c r="E14" s="53" t="s">
        <v>4448</v>
      </c>
      <c r="F14" s="71"/>
      <c r="G14" s="4" t="s">
        <v>4688</v>
      </c>
      <c r="H14" s="72"/>
      <c r="I14" s="53" t="s">
        <v>4710</v>
      </c>
      <c r="J14" s="142" t="s">
        <v>856</v>
      </c>
      <c r="K14" s="142" t="s">
        <v>2086</v>
      </c>
      <c r="L14" s="71"/>
      <c r="M14" s="72"/>
      <c r="N14" s="71"/>
      <c r="O14" s="102"/>
      <c r="P14" s="102"/>
      <c r="Q14" s="102"/>
      <c r="R14" s="149"/>
      <c r="S14" s="149"/>
      <c r="T14" s="149"/>
    </row>
    <row r="15" spans="1:32">
      <c r="A15" s="142">
        <v>3</v>
      </c>
      <c r="B15" s="142" t="s">
        <v>3193</v>
      </c>
      <c r="D15" s="141" t="s">
        <v>1848</v>
      </c>
      <c r="E15" s="297" t="s">
        <v>4449</v>
      </c>
      <c r="F15" s="144"/>
      <c r="G15" s="297" t="s">
        <v>4691</v>
      </c>
      <c r="H15" s="144"/>
      <c r="I15" s="53" t="s">
        <v>4711</v>
      </c>
      <c r="J15" s="297" t="s">
        <v>4596</v>
      </c>
      <c r="K15" s="144" t="s">
        <v>1094</v>
      </c>
    </row>
    <row r="16" spans="1:32">
      <c r="A16" s="142">
        <v>4</v>
      </c>
      <c r="B16" s="142" t="s">
        <v>3194</v>
      </c>
      <c r="D16" s="29"/>
      <c r="H16" s="29"/>
      <c r="I16"/>
      <c r="J16" s="29"/>
      <c r="K16" s="29"/>
    </row>
    <row r="17" spans="1:20">
      <c r="A17" s="142">
        <v>5</v>
      </c>
      <c r="B17" s="142" t="s">
        <v>3195</v>
      </c>
      <c r="D17" s="141" t="s">
        <v>3641</v>
      </c>
      <c r="E17" s="297" t="s">
        <v>4450</v>
      </c>
      <c r="F17" s="144"/>
      <c r="G17" s="297" t="s">
        <v>4689</v>
      </c>
      <c r="H17" s="141"/>
      <c r="I17" s="53" t="s">
        <v>4712</v>
      </c>
      <c r="J17" s="141" t="s">
        <v>3242</v>
      </c>
      <c r="K17" s="141" t="s">
        <v>1011</v>
      </c>
    </row>
    <row r="18" spans="1:20" ht="14.15">
      <c r="A18" s="150">
        <v>6</v>
      </c>
      <c r="B18" s="150" t="s">
        <v>4173</v>
      </c>
      <c r="C18" s="152"/>
      <c r="D18" s="29" t="s">
        <v>896</v>
      </c>
      <c r="E18" s="302" t="s">
        <v>4451</v>
      </c>
      <c r="F18" s="63"/>
      <c r="G18" s="29" t="s">
        <v>4690</v>
      </c>
      <c r="H18" s="31"/>
      <c r="I18" s="29" t="s">
        <v>4686</v>
      </c>
      <c r="J18" s="29" t="s">
        <v>4597</v>
      </c>
      <c r="K18" s="111" t="s">
        <v>4172</v>
      </c>
    </row>
    <row r="19" spans="1:20" s="510" customFormat="1">
      <c r="A19" s="510">
        <v>7</v>
      </c>
      <c r="B19" s="510" t="s">
        <v>4775</v>
      </c>
      <c r="D19" s="515" t="s">
        <v>5005</v>
      </c>
      <c r="E19" s="513" t="s">
        <v>5006</v>
      </c>
      <c r="F19" s="513"/>
      <c r="G19" s="513" t="s">
        <v>5007</v>
      </c>
      <c r="H19" s="515"/>
      <c r="I19" s="515" t="s">
        <v>5008</v>
      </c>
      <c r="J19" s="515" t="s">
        <v>5009</v>
      </c>
      <c r="K19" s="515" t="s">
        <v>5010</v>
      </c>
    </row>
    <row r="20" spans="1:20">
      <c r="H20" s="29"/>
      <c r="I20" s="29"/>
      <c r="J20" s="29"/>
      <c r="K20" s="29"/>
      <c r="M20" s="20"/>
      <c r="N20" s="20"/>
      <c r="O20" s="20"/>
      <c r="P20" s="20"/>
      <c r="Q20" s="20"/>
      <c r="R20" s="169"/>
      <c r="S20" s="169"/>
    </row>
    <row r="21" spans="1:20" s="145" customFormat="1">
      <c r="B21" s="145" t="s">
        <v>3190</v>
      </c>
      <c r="D21" s="145" t="str">
        <f>LOOKUP($A$1,'Lang Other'!$A$3:$A$9,'Lang Other'!D23:D29)</f>
        <v>宣誓</v>
      </c>
      <c r="E21" s="145" t="str">
        <f>LOOKUP($A$1,'Lang Other'!$A$3:$A$9,'Lang Other'!E23:E29)</f>
        <v>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v>
      </c>
      <c r="F21" s="145" t="str">
        <f>LOOKUP($A$1,'Lang Other'!$A$3:$A$9,'Lang Other'!F23:F29)</f>
        <v>上記を読み同意しました</v>
      </c>
      <c r="G21" s="145" t="str">
        <f>LOOKUP($A$1,'Lang Other'!$A$3:$A$9,'Lang Other'!G23:G29)</f>
        <v>氏名</v>
      </c>
      <c r="H21" s="145" t="str">
        <f>LOOKUP($A$1,'Lang Other'!$A$3:$A$9,'Lang Other'!H23:H29)</f>
        <v>日付</v>
      </c>
      <c r="I21" s="145" t="str">
        <f>LOOKUP($A$1,'Lang Other'!$A$3:$A$9,'Lang Other'!I23:I29)</f>
        <v>The IRC Rating Authority will never supply IRC owner contact details to third parties</v>
      </c>
      <c r="J21" s="145">
        <f>LOOKUP($A$1,'Lang Other'!$A$3:$A$9,'Lang Other'!J23:J29)</f>
        <v>0</v>
      </c>
      <c r="K21" s="145" t="str">
        <f>LOOKUP($A$1,'Lang Other'!$A$3:$A$9,'Lang Other'!K23:K29)</f>
        <v>メジャラー氏名/登録番号</v>
      </c>
      <c r="L21" s="145" t="str">
        <f>LOOKUP($A$1,'Lang Other'!$A$3:$A$9,'Lang Other'!L23:L29)</f>
        <v>Country</v>
      </c>
      <c r="M21" s="145" t="str">
        <f>LOOKUP($A$1,'Lang Other'!$A$3:$A$9,'Lang Other'!M23:M29)</f>
        <v>Tell us which country &gt;&gt;</v>
      </c>
      <c r="N21" s="159"/>
      <c r="O21" s="159"/>
      <c r="P21" s="159"/>
      <c r="Q21" s="159"/>
      <c r="R21" s="159"/>
      <c r="S21" s="159"/>
    </row>
    <row r="22" spans="1:20">
      <c r="J22" s="63"/>
      <c r="M22" s="20"/>
      <c r="N22" s="20"/>
      <c r="O22" s="20"/>
      <c r="P22" s="20"/>
      <c r="Q22" s="20"/>
      <c r="R22" s="20"/>
      <c r="S22" s="20"/>
    </row>
    <row r="23" spans="1:20">
      <c r="A23" s="142">
        <v>1</v>
      </c>
      <c r="B23" s="142" t="s">
        <v>3191</v>
      </c>
      <c r="D23" s="29" t="s">
        <v>3238</v>
      </c>
      <c r="E23" s="19" t="s">
        <v>1522</v>
      </c>
      <c r="F23" s="19" t="s">
        <v>169</v>
      </c>
      <c r="G23" s="29" t="s">
        <v>3240</v>
      </c>
      <c r="H23" s="29" t="s">
        <v>3241</v>
      </c>
      <c r="I23" s="19" t="s">
        <v>5331</v>
      </c>
      <c r="J23" s="73"/>
      <c r="K23" s="30" t="s">
        <v>4486</v>
      </c>
      <c r="L23" s="30" t="s">
        <v>670</v>
      </c>
      <c r="M23" s="170" t="s">
        <v>5547</v>
      </c>
      <c r="N23" s="170"/>
      <c r="O23" s="170"/>
    </row>
    <row r="24" spans="1:20">
      <c r="A24" s="142">
        <v>2</v>
      </c>
      <c r="B24" s="142" t="s">
        <v>3192</v>
      </c>
      <c r="D24" s="4" t="s">
        <v>3238</v>
      </c>
      <c r="E24" s="162" t="s">
        <v>2692</v>
      </c>
      <c r="F24" s="158" t="s">
        <v>3888</v>
      </c>
      <c r="G24" s="142" t="s">
        <v>3889</v>
      </c>
      <c r="H24" s="142" t="s">
        <v>3241</v>
      </c>
      <c r="I24" s="19" t="s">
        <v>4567</v>
      </c>
      <c r="K24" s="53" t="s">
        <v>4487</v>
      </c>
      <c r="L24" s="53" t="s">
        <v>3646</v>
      </c>
      <c r="M24" s="53" t="s">
        <v>5549</v>
      </c>
      <c r="O24" s="142" t="s">
        <v>2097</v>
      </c>
      <c r="P24" s="142" t="s">
        <v>2098</v>
      </c>
      <c r="R24" s="142" t="s">
        <v>2099</v>
      </c>
      <c r="T24" s="142" t="s">
        <v>2100</v>
      </c>
    </row>
    <row r="25" spans="1:20">
      <c r="A25" s="142">
        <v>3</v>
      </c>
      <c r="B25" s="142" t="s">
        <v>3193</v>
      </c>
      <c r="D25" s="92" t="s">
        <v>1849</v>
      </c>
      <c r="E25" s="144" t="s">
        <v>1095</v>
      </c>
      <c r="F25" s="144" t="s">
        <v>3178</v>
      </c>
      <c r="G25" s="144" t="s">
        <v>3179</v>
      </c>
      <c r="H25" s="144" t="s">
        <v>3180</v>
      </c>
      <c r="I25" s="19" t="s">
        <v>4568</v>
      </c>
      <c r="J25" s="144"/>
      <c r="K25" s="144" t="s">
        <v>1572</v>
      </c>
      <c r="L25" s="297" t="s">
        <v>5546</v>
      </c>
      <c r="M25" s="53" t="s">
        <v>5548</v>
      </c>
    </row>
    <row r="26" spans="1:20">
      <c r="A26" s="142">
        <v>4</v>
      </c>
      <c r="B26" s="142" t="s">
        <v>3194</v>
      </c>
      <c r="I26" s="19"/>
    </row>
    <row r="27" spans="1:20">
      <c r="A27" s="142">
        <v>5</v>
      </c>
      <c r="B27" s="142" t="s">
        <v>3195</v>
      </c>
      <c r="D27" s="92" t="s">
        <v>2134</v>
      </c>
      <c r="E27" s="144" t="s">
        <v>1571</v>
      </c>
      <c r="F27" s="144" t="s">
        <v>2135</v>
      </c>
      <c r="G27" s="144" t="s">
        <v>2136</v>
      </c>
      <c r="H27" s="144" t="s">
        <v>2137</v>
      </c>
      <c r="I27" s="473" t="s">
        <v>4485</v>
      </c>
      <c r="J27" s="144"/>
      <c r="K27" s="297" t="s">
        <v>4488</v>
      </c>
      <c r="L27" s="142" t="s">
        <v>5039</v>
      </c>
      <c r="M27" s="297" t="s">
        <v>5550</v>
      </c>
    </row>
    <row r="28" spans="1:20" ht="14.15">
      <c r="A28" s="150">
        <v>6</v>
      </c>
      <c r="B28" s="150" t="s">
        <v>4173</v>
      </c>
      <c r="C28" s="152"/>
      <c r="D28" s="114" t="s">
        <v>4174</v>
      </c>
      <c r="E28" s="111" t="s">
        <v>4175</v>
      </c>
      <c r="F28" s="111" t="s">
        <v>4176</v>
      </c>
      <c r="G28" s="114" t="s">
        <v>4177</v>
      </c>
      <c r="H28" s="114" t="s">
        <v>4178</v>
      </c>
      <c r="I28" s="19" t="s">
        <v>4485</v>
      </c>
      <c r="J28" s="115"/>
      <c r="K28" s="111" t="s">
        <v>4179</v>
      </c>
      <c r="L28" s="30" t="s">
        <v>670</v>
      </c>
      <c r="M28" s="170" t="s">
        <v>5547</v>
      </c>
      <c r="N28" s="114"/>
      <c r="O28" s="114"/>
    </row>
    <row r="29" spans="1:20" s="510" customFormat="1">
      <c r="A29" s="510">
        <v>7</v>
      </c>
      <c r="B29" s="510" t="s">
        <v>4775</v>
      </c>
      <c r="D29" s="513" t="s">
        <v>5011</v>
      </c>
      <c r="E29" s="534" t="s">
        <v>5012</v>
      </c>
      <c r="F29" s="513" t="s">
        <v>5013</v>
      </c>
      <c r="G29" s="513" t="s">
        <v>5014</v>
      </c>
      <c r="H29" s="513" t="s">
        <v>5015</v>
      </c>
      <c r="I29" s="534" t="s">
        <v>5016</v>
      </c>
      <c r="J29" s="513"/>
      <c r="K29" s="30" t="s">
        <v>4486</v>
      </c>
      <c r="L29" s="30" t="s">
        <v>670</v>
      </c>
      <c r="M29" s="170" t="s">
        <v>5547</v>
      </c>
    </row>
    <row r="31" spans="1:20" s="145" customFormat="1">
      <c r="B31" s="145" t="s">
        <v>3190</v>
      </c>
      <c r="D31" s="145">
        <f>LOOKUP($A$1,'Lang Other'!$A$3:$A$9,'Lang Other'!D33:D39)</f>
        <v>0</v>
      </c>
      <c r="E31" s="145" t="str">
        <f>LOOKUP($A$1,'Lang Other'!$A$3:$A$9,'Lang Other'!E33:E39)</f>
        <v>SECTION 2 - CONFIGURATIONS</v>
      </c>
      <c r="F31" s="145">
        <f>LOOKUP($A$1,'Lang Other'!$A$3:$A$8,'Lang Other'!F33:F38)</f>
        <v>0</v>
      </c>
      <c r="G31" s="145">
        <f>LOOKUP($A$1,'Lang Other'!$A$3:$A$8,'Lang Other'!G33:G38)</f>
        <v>0</v>
      </c>
      <c r="H31" s="145">
        <f>LOOKUP($A$1,'Lang Other'!$A$3:$A$8,'Lang Other'!H33:H38)</f>
        <v>0</v>
      </c>
      <c r="I31" s="145">
        <f>LOOKUP($A$1,'Lang Other'!$A$3:$A$8,'Lang Other'!I33:I38)</f>
        <v>0</v>
      </c>
      <c r="J31" s="145">
        <f>LOOKUP($A$1,'Lang Other'!$A$3:$A$8,'Lang Other'!J33:J38)</f>
        <v>0</v>
      </c>
      <c r="K31" s="145">
        <f>LOOKUP($A$1,'Lang Other'!$A$3:$A$8,'Lang Other'!K33:K38)</f>
        <v>0</v>
      </c>
      <c r="L31" s="145" t="str">
        <f>LOOKUP($A$1,'Lang Other'!$A$3:$A$8,'Lang Other'!L33:L38)</f>
        <v>オリジナル／標準仕様の変更</v>
      </c>
      <c r="M31" s="145" t="str">
        <f>LOOKUP($A$1,'Lang Other'!$A$3:$A$8,'Lang Other'!M33:M38)</f>
        <v>ノートルール変更2019</v>
      </c>
    </row>
    <row r="33" spans="1:13">
      <c r="A33" s="142">
        <v>1</v>
      </c>
      <c r="B33" s="142" t="s">
        <v>3191</v>
      </c>
      <c r="D33" s="19" t="s">
        <v>4269</v>
      </c>
      <c r="E33" s="142" t="s">
        <v>135</v>
      </c>
      <c r="F33" s="142" t="s">
        <v>1093</v>
      </c>
      <c r="G33" s="142" t="s">
        <v>2409</v>
      </c>
      <c r="H33" s="142" t="s">
        <v>2410</v>
      </c>
      <c r="I33" s="142" t="s">
        <v>2411</v>
      </c>
      <c r="J33" s="142" t="s">
        <v>2412</v>
      </c>
      <c r="K33" s="142" t="s">
        <v>2413</v>
      </c>
      <c r="L33" s="29" t="s">
        <v>4478</v>
      </c>
      <c r="M33" s="53" t="s">
        <v>4696</v>
      </c>
    </row>
    <row r="34" spans="1:13" s="172" customFormat="1" ht="14.6">
      <c r="A34" s="142">
        <v>2</v>
      </c>
      <c r="B34" s="142" t="s">
        <v>3192</v>
      </c>
      <c r="C34" s="142"/>
      <c r="D34" s="171" t="s">
        <v>2463</v>
      </c>
      <c r="E34" s="142" t="s">
        <v>135</v>
      </c>
      <c r="L34" s="29" t="s">
        <v>4598</v>
      </c>
      <c r="M34" s="53" t="s">
        <v>4695</v>
      </c>
    </row>
    <row r="35" spans="1:13">
      <c r="A35" s="172">
        <v>3</v>
      </c>
      <c r="B35" s="172" t="s">
        <v>3193</v>
      </c>
      <c r="C35" s="172"/>
      <c r="D35" s="19" t="s">
        <v>2462</v>
      </c>
      <c r="E35" s="142" t="s">
        <v>136</v>
      </c>
      <c r="L35" s="29" t="s">
        <v>4599</v>
      </c>
      <c r="M35" s="53" t="s">
        <v>4697</v>
      </c>
    </row>
    <row r="36" spans="1:13">
      <c r="A36" s="142">
        <v>4</v>
      </c>
      <c r="B36" s="142" t="s">
        <v>3194</v>
      </c>
      <c r="D36" s="19" t="s">
        <v>2462</v>
      </c>
      <c r="L36" s="29"/>
    </row>
    <row r="37" spans="1:13">
      <c r="A37" s="142">
        <v>5</v>
      </c>
      <c r="B37" s="142" t="s">
        <v>3195</v>
      </c>
      <c r="D37" s="20" t="s">
        <v>3251</v>
      </c>
      <c r="E37" s="142" t="s">
        <v>137</v>
      </c>
      <c r="L37" s="471" t="s">
        <v>4478</v>
      </c>
      <c r="M37" s="53" t="s">
        <v>4698</v>
      </c>
    </row>
    <row r="38" spans="1:13">
      <c r="A38" s="142">
        <v>6</v>
      </c>
      <c r="B38" s="142" t="s">
        <v>4173</v>
      </c>
      <c r="D38" s="19">
        <v>0</v>
      </c>
      <c r="E38" s="142" t="s">
        <v>138</v>
      </c>
      <c r="L38" s="29" t="s">
        <v>4597</v>
      </c>
      <c r="M38" s="53" t="s">
        <v>4699</v>
      </c>
    </row>
    <row r="39" spans="1:13" s="510" customFormat="1">
      <c r="A39" s="510">
        <v>7</v>
      </c>
      <c r="B39" s="510" t="s">
        <v>4775</v>
      </c>
      <c r="D39" s="540" t="s">
        <v>5017</v>
      </c>
      <c r="E39" s="510" t="s">
        <v>5018</v>
      </c>
      <c r="F39" s="510" t="s">
        <v>5019</v>
      </c>
      <c r="G39" s="510" t="s">
        <v>5020</v>
      </c>
      <c r="H39" s="510" t="s">
        <v>5021</v>
      </c>
      <c r="I39" s="510" t="s">
        <v>5022</v>
      </c>
      <c r="J39" s="510" t="s">
        <v>5023</v>
      </c>
      <c r="K39" s="510" t="s">
        <v>5024</v>
      </c>
      <c r="L39" s="510" t="s">
        <v>5025</v>
      </c>
      <c r="M39" s="510" t="s">
        <v>5026</v>
      </c>
    </row>
    <row r="41" spans="1:13" s="145" customFormat="1">
      <c r="B41" s="145" t="s">
        <v>3190</v>
      </c>
      <c r="D41" s="145" t="str">
        <f>LOOKUP($A$1,'Lang Other'!$A$3:$A$9,'Lang Other'!D43:D49)</f>
        <v>2021年規則と定義参照</v>
      </c>
      <c r="E41" s="145" t="str">
        <f>LOOKUP($A$1,'Lang Other'!$A$3:$A$9,'Lang Other'!E43:E49)</f>
        <v>2020年新定義</v>
      </c>
      <c r="F41" s="145" t="str">
        <f>LOOKUP($A$1,'Lang Other'!$A$3:$A$9,'Lang Other'!F43:F49)</f>
        <v>写真を添付する</v>
      </c>
      <c r="G41" s="145" t="str">
        <f>LOOKUP($A$1,'Lang Other'!$A$3:$A$9,'Lang Other'!G43:G49)</f>
        <v>2021年新定義</v>
      </c>
      <c r="H41" s="145" t="str">
        <f>LOOKUP($A$1,'Lang Other'!$A$3:$A$8,'Lang Other'!H43:H48)</f>
        <v>Event name and rating deadline</v>
      </c>
      <c r="I41" s="145" t="str">
        <f>LOOKUP($A$1,'Lang Other'!$A$3:$A$8,'Lang Other'!I43:I48)</f>
        <v>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v>
      </c>
      <c r="J41" s="145">
        <f>LOOKUP($A$1,'Lang Other'!$A$3:$A$8,'Lang Other'!J43:J48)</f>
        <v>0</v>
      </c>
      <c r="K41" s="145">
        <f>LOOKUP($A$1,'Lang Other'!$A$3:$A$8,'Lang Other'!K43:K48)</f>
        <v>0</v>
      </c>
      <c r="L41" s="145">
        <f>LOOKUP($A$1,'Lang Other'!$A$3:$A$8,'Lang Other'!L43:L48)</f>
        <v>0</v>
      </c>
      <c r="M41" s="145">
        <f>LOOKUP($A$1,'Lang Other'!$A$3:$A$8,'Lang Other'!M43:M48)</f>
        <v>0</v>
      </c>
    </row>
    <row r="43" spans="1:13" s="30" customFormat="1" ht="11.6">
      <c r="A43" s="30">
        <v>1</v>
      </c>
      <c r="B43" s="30" t="s">
        <v>3191</v>
      </c>
      <c r="D43" s="30" t="s">
        <v>5194</v>
      </c>
      <c r="E43" s="30" t="s">
        <v>4727</v>
      </c>
      <c r="F43" s="30" t="s">
        <v>4752</v>
      </c>
      <c r="G43" s="30" t="s">
        <v>5271</v>
      </c>
      <c r="H43" s="30" t="s">
        <v>5438</v>
      </c>
      <c r="I43" s="30" t="s">
        <v>5437</v>
      </c>
      <c r="L43" s="29"/>
    </row>
    <row r="44" spans="1:13" s="30" customFormat="1">
      <c r="A44" s="30">
        <v>2</v>
      </c>
      <c r="B44" s="30" t="s">
        <v>3192</v>
      </c>
      <c r="D44" s="495" t="s">
        <v>5352</v>
      </c>
      <c r="E44" s="495" t="s">
        <v>4741</v>
      </c>
      <c r="F44" s="30" t="s">
        <v>4766</v>
      </c>
      <c r="G44" s="495" t="s">
        <v>5272</v>
      </c>
      <c r="H44" s="30" t="s">
        <v>5496</v>
      </c>
      <c r="I44" s="53" t="s">
        <v>5441</v>
      </c>
      <c r="L44" s="29"/>
    </row>
    <row r="45" spans="1:13" s="30" customFormat="1">
      <c r="A45" s="30">
        <v>3</v>
      </c>
      <c r="B45" s="30" t="s">
        <v>3193</v>
      </c>
      <c r="D45" s="496" t="s">
        <v>5195</v>
      </c>
      <c r="E45" s="496" t="s">
        <v>4742</v>
      </c>
      <c r="F45" s="30" t="s">
        <v>4767</v>
      </c>
      <c r="G45" s="496" t="s">
        <v>5273</v>
      </c>
      <c r="H45" s="30" t="s">
        <v>5445</v>
      </c>
      <c r="I45" t="s">
        <v>5442</v>
      </c>
      <c r="L45" s="29"/>
    </row>
    <row r="46" spans="1:13" s="30" customFormat="1">
      <c r="A46" s="30">
        <v>4</v>
      </c>
      <c r="B46" s="30" t="s">
        <v>3194</v>
      </c>
      <c r="I46"/>
      <c r="L46" s="29"/>
    </row>
    <row r="47" spans="1:13" s="30" customFormat="1">
      <c r="A47" s="30">
        <v>5</v>
      </c>
      <c r="B47" s="30" t="s">
        <v>3195</v>
      </c>
      <c r="D47" s="498" t="s">
        <v>5196</v>
      </c>
      <c r="E47" s="30" t="s">
        <v>5504</v>
      </c>
      <c r="F47" s="503" t="s">
        <v>4768</v>
      </c>
      <c r="G47" s="490" t="s">
        <v>5271</v>
      </c>
      <c r="H47" s="30" t="s">
        <v>5445</v>
      </c>
      <c r="I47" t="s">
        <v>5443</v>
      </c>
      <c r="L47" s="471"/>
    </row>
    <row r="48" spans="1:13" s="30" customFormat="1">
      <c r="A48" s="30">
        <v>6</v>
      </c>
      <c r="B48" s="30" t="s">
        <v>3110</v>
      </c>
      <c r="D48" s="497" t="s">
        <v>5197</v>
      </c>
      <c r="E48" s="497" t="s">
        <v>4743</v>
      </c>
      <c r="F48" s="509" t="s">
        <v>4773</v>
      </c>
      <c r="G48" s="497" t="s">
        <v>5274</v>
      </c>
      <c r="H48" s="30" t="s">
        <v>5438</v>
      </c>
      <c r="I48" t="s">
        <v>5444</v>
      </c>
      <c r="L48" s="29"/>
    </row>
    <row r="49" spans="1:9" s="510" customFormat="1">
      <c r="A49" s="510">
        <v>7</v>
      </c>
      <c r="B49" s="510" t="s">
        <v>4775</v>
      </c>
      <c r="D49" s="510" t="s">
        <v>5198</v>
      </c>
      <c r="E49" s="510" t="s">
        <v>5027</v>
      </c>
      <c r="F49" s="510" t="s">
        <v>5028</v>
      </c>
      <c r="G49" s="510" t="s">
        <v>5275</v>
      </c>
      <c r="H49" s="30" t="s">
        <v>5438</v>
      </c>
      <c r="I49" s="30" t="s">
        <v>5437</v>
      </c>
    </row>
  </sheetData>
  <sheetProtection algorithmName="SHA-512" hashValue="FkKMrTMFYCaoT1gG91cV+yY8mY3ZabMdPGETpya+b+B3oRjnbKN8yiUtkfwMjSPVDRQDmBAYw5Af7kCoFcRIFw==" saltValue="zJGCa6izcYPMDodxzw6j8g==" spinCount="100000" sheet="1" objects="1" scenarios="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9" workbookViewId="0">
      <selection activeCell="Q19" sqref="Q19"/>
    </sheetView>
  </sheetViews>
  <sheetFormatPr defaultColWidth="9.15234375" defaultRowHeight="10.3"/>
  <cols>
    <col min="1" max="1" width="3.15234375" style="19" customWidth="1"/>
    <col min="2" max="7" width="9.15234375" style="19"/>
    <col min="8" max="8" width="34.53515625" style="19" customWidth="1"/>
    <col min="9" max="9" width="49.4609375" style="19" customWidth="1"/>
    <col min="10" max="16" width="9.15234375" style="19"/>
    <col min="17" max="17" width="51.3828125" style="19" customWidth="1"/>
    <col min="18" max="18" width="49.84375" style="19" customWidth="1"/>
    <col min="19" max="16384" width="9.15234375" style="19"/>
  </cols>
  <sheetData>
    <row r="1" spans="1:24" s="627" customFormat="1">
      <c r="A1" s="627">
        <f>Application!H441</f>
        <v>6</v>
      </c>
      <c r="B1" s="627" t="s">
        <v>3190</v>
      </c>
      <c r="D1" s="627" t="str">
        <f>LOOKUP($A$1,'Lang Pay'!$A$3:$A$9,'Lang Pay'!D3:D9)</f>
        <v>OWNER AND PAYMENT DETAILS</v>
      </c>
      <c r="E1" s="627" t="str">
        <f>LOOKUP($A$1,'Lang Pay'!$A$3:$A$9,'Lang Pay'!E3:E9)</f>
        <v>If owner is a Company, enter Company name in 'Surname/Family name (s)'</v>
      </c>
      <c r="F1" s="627" t="str">
        <f>LOOKUP($A$1,'Lang Pay'!$A$3:$A$9,'Lang Pay'!F3:F9)</f>
        <v>Surname / Family name (s)</v>
      </c>
      <c r="G1" s="627" t="str">
        <f>LOOKUP($A$1,'Lang Pay'!$A$3:$A$9,'Lang Pay'!G3:G9)</f>
        <v>First / given name(s)</v>
      </c>
      <c r="H1" s="627" t="str">
        <f>LOOKUP($A$1,'Lang Pay'!$A$3:$A$9,'Lang Pay'!H3:H9)</f>
        <v>User/charterer name if different</v>
      </c>
      <c r="I1" s="627" t="str">
        <f>LOOKUP($A$1,'Lang Pay'!$A$3:$A$9,'Lang Pay'!I3:I9)</f>
        <v>Address for correspondence 1</v>
      </c>
      <c r="J1" s="627" t="str">
        <f>LOOKUP($A$1,'Lang Pay'!$A$3:$A$9,'Lang Pay'!J3:J9)</f>
        <v>Address 2</v>
      </c>
      <c r="K1" s="627" t="str">
        <f>LOOKUP($A$1,'Lang Pay'!$A$3:$A$9,'Lang Pay'!K3:K9)</f>
        <v>Address 3</v>
      </c>
      <c r="L1" s="627" t="str">
        <f>LOOKUP($A$1,'Lang Pay'!$A$3:$A$9,'Lang Pay'!L3:L9)</f>
        <v>TOWN</v>
      </c>
      <c r="M1" s="627" t="str">
        <f>LOOKUP($A$1,'Lang Pay'!$A$3:$A$9,'Lang Pay'!M3:M9)</f>
        <v>Post / zip code</v>
      </c>
      <c r="N1" s="627" t="str">
        <f>LOOKUP($A$1,'Lang Pay'!$A$3:$A$9,'Lang Pay'!N3:N9)</f>
        <v>Country</v>
      </c>
      <c r="O1" s="627" t="str">
        <f>LOOKUP($A$1,'Lang Pay'!$A$3:$A$9,'Lang Pay'!O3:O9)</f>
        <v>E-mail address</v>
      </c>
      <c r="P1" s="627" t="str">
        <f>LOOKUP($A$1,'Lang Pay'!$A$3:$A$9,'Lang Pay'!P3:P9)</f>
        <v>Telephone</v>
      </c>
      <c r="Q1" s="627" t="str">
        <f>LOOKUP($A$1,'Lang Pay'!$A$3:$A$9,'Lang Pay'!Q3:Q9)</f>
        <v>Mobile</v>
      </c>
      <c r="R1" s="627" t="str">
        <f>LOOKUP($A$1,'Lang Pay'!$A$3:$A$9,'Lang Pay'!R3:R9)</f>
        <v>Fax</v>
      </c>
      <c r="S1" s="627" t="str">
        <f>LOOKUP($A$1,'Lang Pay'!$A$3:$A$9,'Lang Pay'!S3:S9)</f>
        <v>Please select your RATING AUTHORITY and SAILING AREA from the boxes below:</v>
      </c>
      <c r="T1" s="627" t="str">
        <f>LOOKUP($A$1,'Lang Pay'!$A$3:$A$9,'Lang Pay'!T3:T9)</f>
        <v>Sailing area - country/region</v>
      </c>
      <c r="U1" s="627" t="str">
        <f>LOOKUP($A$1,'Lang Pay'!$A$3:$A$9,'Lang Pay'!U3:U9)</f>
        <v>Residential Geographic Area*</v>
      </c>
      <c r="V1" s="627">
        <f>LOOKUP($A$1,'Lang Pay'!$A$3:$A$9,'Lang Pay'!V3:V9)</f>
        <v>0</v>
      </c>
    </row>
    <row r="3" spans="1:24" ht="10.75">
      <c r="A3" s="19">
        <v>1</v>
      </c>
      <c r="B3" s="19" t="s">
        <v>3191</v>
      </c>
      <c r="D3" s="170" t="s">
        <v>4271</v>
      </c>
      <c r="E3" s="170" t="s">
        <v>2189</v>
      </c>
      <c r="F3" s="170" t="s">
        <v>862</v>
      </c>
      <c r="G3" s="170" t="s">
        <v>861</v>
      </c>
      <c r="H3" s="628" t="s">
        <v>863</v>
      </c>
      <c r="I3" s="170" t="s">
        <v>693</v>
      </c>
      <c r="J3" s="170" t="s">
        <v>694</v>
      </c>
      <c r="K3" s="170" t="s">
        <v>697</v>
      </c>
      <c r="L3" s="170" t="s">
        <v>171</v>
      </c>
      <c r="M3" s="170" t="s">
        <v>866</v>
      </c>
      <c r="N3" s="170" t="s">
        <v>670</v>
      </c>
      <c r="O3" s="170" t="s">
        <v>3622</v>
      </c>
      <c r="P3" s="629" t="s">
        <v>867</v>
      </c>
      <c r="Q3" s="170" t="s">
        <v>2247</v>
      </c>
      <c r="R3" s="170" t="s">
        <v>3452</v>
      </c>
      <c r="S3" s="158" t="s">
        <v>2256</v>
      </c>
      <c r="T3" s="158" t="s">
        <v>4491</v>
      </c>
      <c r="U3" s="158" t="s">
        <v>2255</v>
      </c>
      <c r="V3" s="158"/>
      <c r="W3" s="158"/>
      <c r="X3" s="158"/>
    </row>
    <row r="4" spans="1:24">
      <c r="A4" s="19">
        <v>2</v>
      </c>
      <c r="B4" s="19" t="s">
        <v>3192</v>
      </c>
      <c r="D4" s="158" t="s">
        <v>3890</v>
      </c>
      <c r="E4" s="158" t="s">
        <v>2087</v>
      </c>
      <c r="F4" s="158" t="s">
        <v>3889</v>
      </c>
      <c r="G4" s="158" t="s">
        <v>3891</v>
      </c>
      <c r="H4" s="158" t="s">
        <v>3892</v>
      </c>
      <c r="I4" s="158" t="s">
        <v>3893</v>
      </c>
      <c r="J4" s="158" t="s">
        <v>3642</v>
      </c>
      <c r="K4" s="158" t="s">
        <v>3643</v>
      </c>
      <c r="L4" s="158" t="s">
        <v>3644</v>
      </c>
      <c r="M4" s="158" t="s">
        <v>3645</v>
      </c>
      <c r="N4" s="158" t="s">
        <v>3646</v>
      </c>
      <c r="O4" s="158" t="s">
        <v>3647</v>
      </c>
      <c r="P4" s="158" t="s">
        <v>3648</v>
      </c>
      <c r="Q4" s="158" t="s">
        <v>3649</v>
      </c>
      <c r="R4" s="158" t="s">
        <v>3452</v>
      </c>
      <c r="S4" s="158" t="s">
        <v>3664</v>
      </c>
      <c r="T4" s="19" t="s">
        <v>3250</v>
      </c>
      <c r="U4" s="158" t="s">
        <v>2435</v>
      </c>
    </row>
    <row r="5" spans="1:24">
      <c r="A5" s="19">
        <v>3</v>
      </c>
      <c r="B5" s="19" t="s">
        <v>3193</v>
      </c>
      <c r="D5" s="630" t="s">
        <v>1573</v>
      </c>
      <c r="E5" s="631" t="s">
        <v>2837</v>
      </c>
      <c r="F5" s="631" t="s">
        <v>3179</v>
      </c>
      <c r="G5" s="631" t="s">
        <v>2838</v>
      </c>
      <c r="H5" s="631" t="s">
        <v>2839</v>
      </c>
      <c r="I5" s="631" t="s">
        <v>2841</v>
      </c>
      <c r="J5" s="631" t="s">
        <v>2840</v>
      </c>
      <c r="K5" s="631" t="s">
        <v>2842</v>
      </c>
      <c r="L5" s="631" t="s">
        <v>2843</v>
      </c>
      <c r="M5" s="631" t="s">
        <v>2844</v>
      </c>
      <c r="N5" s="631" t="s">
        <v>2845</v>
      </c>
      <c r="O5" s="631" t="s">
        <v>3698</v>
      </c>
      <c r="P5" s="631" t="s">
        <v>2846</v>
      </c>
      <c r="Q5" s="631" t="s">
        <v>2847</v>
      </c>
      <c r="R5" s="631" t="s">
        <v>3452</v>
      </c>
      <c r="S5" s="631" t="s">
        <v>4073</v>
      </c>
      <c r="T5" s="631" t="s">
        <v>4490</v>
      </c>
      <c r="U5" s="631" t="s">
        <v>2435</v>
      </c>
    </row>
    <row r="6" spans="1:24">
      <c r="A6" s="19">
        <v>4</v>
      </c>
      <c r="B6" s="19" t="s">
        <v>3194</v>
      </c>
      <c r="D6" s="170"/>
    </row>
    <row r="7" spans="1:24">
      <c r="A7" s="19">
        <v>5</v>
      </c>
      <c r="B7" s="19" t="s">
        <v>3195</v>
      </c>
      <c r="D7" s="630" t="s">
        <v>2138</v>
      </c>
      <c r="E7" s="631" t="s">
        <v>3075</v>
      </c>
      <c r="F7" s="631" t="s">
        <v>2378</v>
      </c>
      <c r="G7" s="631" t="s">
        <v>2136</v>
      </c>
      <c r="H7" s="631" t="s">
        <v>3076</v>
      </c>
      <c r="I7" s="631" t="s">
        <v>3077</v>
      </c>
      <c r="J7" s="631" t="s">
        <v>3078</v>
      </c>
      <c r="K7" s="631" t="s">
        <v>3079</v>
      </c>
      <c r="L7" s="631" t="s">
        <v>3080</v>
      </c>
      <c r="M7" s="631" t="s">
        <v>3081</v>
      </c>
      <c r="N7" s="631" t="s">
        <v>3082</v>
      </c>
      <c r="O7" s="631" t="s">
        <v>3083</v>
      </c>
      <c r="P7" s="631" t="s">
        <v>3084</v>
      </c>
      <c r="Q7" s="631" t="s">
        <v>3085</v>
      </c>
      <c r="R7" s="631" t="s">
        <v>3452</v>
      </c>
      <c r="S7" s="631" t="s">
        <v>3665</v>
      </c>
      <c r="T7" s="631" t="s">
        <v>3090</v>
      </c>
      <c r="U7" s="631" t="s">
        <v>2435</v>
      </c>
    </row>
    <row r="8" spans="1:24" ht="10.75">
      <c r="A8" s="19">
        <v>6</v>
      </c>
      <c r="B8" s="19" t="s">
        <v>4173</v>
      </c>
      <c r="D8" s="170" t="s">
        <v>865</v>
      </c>
      <c r="E8" s="170" t="s">
        <v>2189</v>
      </c>
      <c r="F8" s="170" t="s">
        <v>862</v>
      </c>
      <c r="G8" s="170" t="s">
        <v>861</v>
      </c>
      <c r="H8" s="628" t="s">
        <v>863</v>
      </c>
      <c r="I8" s="170" t="s">
        <v>693</v>
      </c>
      <c r="J8" s="170" t="s">
        <v>694</v>
      </c>
      <c r="K8" s="170" t="s">
        <v>697</v>
      </c>
      <c r="L8" s="170" t="s">
        <v>171</v>
      </c>
      <c r="M8" s="170" t="s">
        <v>866</v>
      </c>
      <c r="N8" s="170" t="s">
        <v>670</v>
      </c>
      <c r="O8" s="170" t="s">
        <v>3622</v>
      </c>
      <c r="P8" s="629" t="s">
        <v>867</v>
      </c>
      <c r="Q8" s="170" t="s">
        <v>2247</v>
      </c>
      <c r="R8" s="170" t="s">
        <v>3452</v>
      </c>
      <c r="S8" s="158" t="s">
        <v>2256</v>
      </c>
      <c r="T8" s="158" t="s">
        <v>4491</v>
      </c>
      <c r="U8" s="158" t="s">
        <v>2255</v>
      </c>
      <c r="V8" s="158"/>
      <c r="W8" s="158"/>
    </row>
    <row r="9" spans="1:24" s="540" customFormat="1" ht="10.75">
      <c r="A9" s="540">
        <v>7</v>
      </c>
      <c r="B9" s="540" t="s">
        <v>4775</v>
      </c>
      <c r="D9" s="540" t="s">
        <v>5029</v>
      </c>
      <c r="E9" s="540" t="s">
        <v>5030</v>
      </c>
      <c r="F9" s="540" t="s">
        <v>5031</v>
      </c>
      <c r="G9" s="540" t="s">
        <v>5032</v>
      </c>
      <c r="H9" s="521" t="s">
        <v>5033</v>
      </c>
      <c r="I9" s="540" t="s">
        <v>5034</v>
      </c>
      <c r="J9" s="540" t="s">
        <v>5035</v>
      </c>
      <c r="K9" s="540" t="s">
        <v>5036</v>
      </c>
      <c r="L9" s="540" t="s">
        <v>5037</v>
      </c>
      <c r="M9" s="540" t="s">
        <v>5038</v>
      </c>
      <c r="N9" s="540" t="s">
        <v>5039</v>
      </c>
      <c r="O9" s="540" t="s">
        <v>672</v>
      </c>
      <c r="P9" s="540" t="s">
        <v>5040</v>
      </c>
      <c r="Q9" s="540" t="s">
        <v>5041</v>
      </c>
      <c r="R9" s="540" t="s">
        <v>3452</v>
      </c>
      <c r="S9" s="540" t="s">
        <v>5042</v>
      </c>
      <c r="T9" s="540" t="s">
        <v>5043</v>
      </c>
      <c r="U9" s="540" t="s">
        <v>5044</v>
      </c>
    </row>
    <row r="11" spans="1:24">
      <c r="E11" s="170"/>
      <c r="F11" s="170"/>
    </row>
    <row r="13" spans="1:24" s="627" customFormat="1">
      <c r="B13" s="627" t="s">
        <v>3190</v>
      </c>
      <c r="D13" s="627" t="str">
        <f>LOOKUP($A$1,'Lang Pay'!$A$3:$A$9,'Lang Pay'!D15:D21)</f>
        <v>RORC member No. if applicable</v>
      </c>
      <c r="E13" s="627" t="str">
        <f>LOOKUP($A$1,'Lang Pay'!$A$3:$A$9,'Lang Pay'!E15:E21)</f>
        <v>To request a Yearbook contact your Rule Authority</v>
      </c>
      <c r="F13" s="627" t="str">
        <f>LOOKUP($A$1,'Lang Pay'!$A$3:$A$9,'Lang Pay'!F15:F21)</f>
        <v>PAYMENT - GBR BOATS ONLY NOTE:  if PAYING online via My IRC, do NOT complete card details here</v>
      </c>
      <c r="G13" s="627" t="str">
        <f>LOOKUP($A$1,'Lang Pay'!$A$3:$A$9,'Lang Pay'!G15:G21)</f>
        <v>Card type</v>
      </c>
      <c r="H13" s="627" t="str">
        <f>LOOKUP($A$1,'Lang Pay'!$A$3:$A$9,'Lang Pay'!H15:H21)</f>
        <v>Sorry we cannot accept AmEx</v>
      </c>
      <c r="I13" s="627" t="str">
        <f>LOOKUP($A$1,'Lang Pay'!$A$3:$A$9,'Lang Pay'!I15:I21)</f>
        <v>Card number</v>
      </c>
      <c r="J13" s="627" t="str">
        <f>LOOKUP($A$1,'Lang Pay'!$A$3:$A$9,'Lang Pay'!J15:J21)</f>
        <v>Expiry</v>
      </c>
      <c r="K13" s="627" t="str">
        <f>LOOKUP($A$1,'Lang Pay'!$A$3:$A$9,'Lang Pay'!K15:K21)</f>
        <v>Month</v>
      </c>
      <c r="L13" s="627" t="str">
        <f>LOOKUP($A$1,'Lang Pay'!$A$3:$A$9,'Lang Pay'!L15:L21)</f>
        <v>Year</v>
      </c>
      <c r="M13" s="627" t="str">
        <f>LOOKUP($A$1,'Lang Pay'!$A$3:$A$9,'Lang Pay'!M15:M21)</f>
        <v>Required for all cards</v>
      </c>
      <c r="N13" s="627" t="str">
        <f>LOOKUP($A$1,'Lang Pay'!$A$3:$A$9,'Lang Pay'!N15:N21)</f>
        <v>Security number  (last 3 digits on reverse of card)</v>
      </c>
      <c r="O13" s="627" t="str">
        <f>LOOKUP($A$1,'Lang Pay'!$A$3:$A$9,'Lang Pay'!O15:O21)</f>
        <v xml:space="preserve">If applicable: </v>
      </c>
      <c r="P13" s="627" t="str">
        <f>LOOKUP($A$1,'Lang Pay'!$A$3:$A$9,'Lang Pay'!P15:P21)</f>
        <v>Start date</v>
      </c>
      <c r="Q13" s="627" t="str">
        <f>LOOKUP($A$1,'Lang Pay'!$A$3:$A$9,'Lang Pay'!Q15:Q21)</f>
        <v>Issue no.</v>
      </c>
      <c r="R13" s="627" t="str">
        <f>LOOKUP($A$1,'Lang Pay'!$A$3:$A$9,'Lang Pay'!R15:R21)</f>
        <v>Card holder name and address if different to owner details</v>
      </c>
      <c r="S13" s="627" t="str">
        <f>LOOKUP($A$1,'Lang Pay'!$A$3:$A$9,'Lang Pay'!S15:S21)</f>
        <v>Currency:</v>
      </c>
      <c r="T13" s="627">
        <f>LOOKUP($A$1,'Lang Pay'!$A$3:$A$9,'Lang Pay'!T15:T21)</f>
        <v>0</v>
      </c>
      <c r="U13" s="627" t="str">
        <f>LOOKUP($A$1,'Lang Pay'!$A$3:$A$9,'Lang Pay'!U15:U21)</f>
        <v>Online Yearbook at www.ircrating.org</v>
      </c>
      <c r="V13" s="627">
        <f>LOOKUP($A$1,'Lang Pay'!$A$3:$A$9,'Lang Pay'!V15:V21)</f>
        <v>0</v>
      </c>
      <c r="W13" s="627">
        <f>LOOKUP($A$1,'Lang Pay'!$A$3:$A$9,'Lang Pay'!W15:W21)</f>
        <v>0</v>
      </c>
      <c r="X13" s="627">
        <f>LOOKUP($A$1,'Lang Pay'!$A$3:$A$9,'Lang Pay'!X15:X21)</f>
        <v>0</v>
      </c>
    </row>
    <row r="14" spans="1:24">
      <c r="H14" s="19">
        <f>LOOKUP($A$1,'Lang Pay'!$A$3:$A$7,'Lang Pay'!H15:H19)</f>
        <v>0</v>
      </c>
      <c r="K14" s="19" t="str">
        <f>LOOKUP($A$1,'Lang Pay'!$A$3:$A$7,'Lang Pay'!K15:K19)</f>
        <v>No cumplimentar</v>
      </c>
      <c r="L14" s="19" t="str">
        <f>LOOKUP($A$1,'Lang Pay'!$A$3:$A$7,'Lang Pay'!L15:L19)</f>
        <v>No cumplimentar</v>
      </c>
      <c r="M14" s="19" t="str">
        <f>LOOKUP($A$1,'Lang Pay'!$A$3:$A$7,'Lang Pay'!M15:M19)</f>
        <v>No cumplimentar</v>
      </c>
      <c r="N14" s="19" t="str">
        <f>LOOKUP($A$1,'Lang Pay'!$A$3:$A$7,'Lang Pay'!N15:N19)</f>
        <v>No cumplimentar</v>
      </c>
      <c r="O14" s="19" t="str">
        <f>LOOKUP($A$1,'Lang Pay'!$A$3:$A$7,'Lang Pay'!O15:O19)</f>
        <v>No cumplimentar</v>
      </c>
      <c r="P14" s="19" t="str">
        <f>LOOKUP($A$1,'Lang Pay'!$A$3:$A$7,'Lang Pay'!P15:P19)</f>
        <v>No cumplimentar</v>
      </c>
      <c r="Q14" s="19" t="str">
        <f>LOOKUP($A$1,'Lang Pay'!$A$3:$A$7,'Lang Pay'!Q15:Q19)</f>
        <v>No cumplimentar</v>
      </c>
      <c r="S14" s="19">
        <f>LOOKUP($A$1,'Lang Pay'!$A$3:$A$7,'Lang Pay'!S15:S19)</f>
        <v>0</v>
      </c>
      <c r="U14" s="19" t="s">
        <v>552</v>
      </c>
    </row>
    <row r="15" spans="1:24" ht="10.75">
      <c r="A15" s="19">
        <v>1</v>
      </c>
      <c r="B15" s="19" t="s">
        <v>3191</v>
      </c>
      <c r="D15" s="170" t="s">
        <v>3014</v>
      </c>
      <c r="E15" s="170" t="s">
        <v>553</v>
      </c>
      <c r="F15" s="170" t="s">
        <v>4268</v>
      </c>
      <c r="G15" s="170" t="s">
        <v>2263</v>
      </c>
      <c r="H15" s="628" t="s">
        <v>1012</v>
      </c>
      <c r="I15" s="170" t="s">
        <v>1013</v>
      </c>
      <c r="J15" s="170" t="s">
        <v>1014</v>
      </c>
      <c r="K15" s="629" t="s">
        <v>1017</v>
      </c>
      <c r="L15" s="629" t="s">
        <v>1018</v>
      </c>
      <c r="M15" s="632" t="s">
        <v>1538</v>
      </c>
      <c r="N15" s="170" t="s">
        <v>1371</v>
      </c>
      <c r="O15" s="633" t="s">
        <v>2264</v>
      </c>
      <c r="P15" s="19" t="s">
        <v>1019</v>
      </c>
      <c r="Q15" s="19" t="s">
        <v>1020</v>
      </c>
      <c r="R15" s="19" t="s">
        <v>3290</v>
      </c>
      <c r="S15" s="19" t="s">
        <v>3962</v>
      </c>
      <c r="T15" s="170" t="s">
        <v>3015</v>
      </c>
      <c r="U15" s="19" t="s">
        <v>552</v>
      </c>
    </row>
    <row r="16" spans="1:24">
      <c r="A16" s="19">
        <v>2</v>
      </c>
      <c r="B16" s="19" t="s">
        <v>3192</v>
      </c>
      <c r="D16" s="19" t="s">
        <v>2101</v>
      </c>
      <c r="E16" s="170" t="s">
        <v>553</v>
      </c>
      <c r="F16" s="19" t="s">
        <v>2103</v>
      </c>
      <c r="G16" s="158" t="s">
        <v>3650</v>
      </c>
      <c r="H16" s="158"/>
      <c r="I16" s="158" t="s">
        <v>3650</v>
      </c>
      <c r="J16" s="158" t="s">
        <v>3650</v>
      </c>
      <c r="K16" s="158" t="s">
        <v>3650</v>
      </c>
      <c r="L16" s="158" t="s">
        <v>3650</v>
      </c>
      <c r="M16" s="158" t="s">
        <v>3650</v>
      </c>
      <c r="N16" s="158" t="s">
        <v>3650</v>
      </c>
      <c r="O16" s="158" t="s">
        <v>3650</v>
      </c>
      <c r="P16" s="158" t="s">
        <v>3650</v>
      </c>
      <c r="Q16" s="158" t="s">
        <v>3650</v>
      </c>
      <c r="R16" s="158" t="s">
        <v>3650</v>
      </c>
      <c r="S16" s="158"/>
      <c r="T16" s="158" t="s">
        <v>2102</v>
      </c>
      <c r="U16" s="19" t="s">
        <v>552</v>
      </c>
    </row>
    <row r="17" spans="1:23" ht="10.75">
      <c r="A17" s="19">
        <v>3</v>
      </c>
      <c r="B17" s="19" t="s">
        <v>3193</v>
      </c>
      <c r="D17" s="630" t="s">
        <v>4075</v>
      </c>
      <c r="E17" s="170" t="s">
        <v>553</v>
      </c>
      <c r="F17" s="631" t="s">
        <v>4076</v>
      </c>
      <c r="G17" s="631"/>
      <c r="H17" s="631"/>
      <c r="I17" s="634" t="s">
        <v>4077</v>
      </c>
      <c r="J17" s="630" t="s">
        <v>4077</v>
      </c>
      <c r="K17" s="630" t="s">
        <v>4077</v>
      </c>
      <c r="L17" s="630" t="s">
        <v>4077</v>
      </c>
      <c r="M17" s="630" t="s">
        <v>4077</v>
      </c>
      <c r="N17" s="630" t="s">
        <v>4077</v>
      </c>
      <c r="O17" s="631" t="s">
        <v>4077</v>
      </c>
      <c r="P17" s="630" t="s">
        <v>4077</v>
      </c>
      <c r="Q17" s="630" t="s">
        <v>4077</v>
      </c>
      <c r="R17" s="631" t="s">
        <v>4077</v>
      </c>
      <c r="S17" s="631"/>
      <c r="T17" s="631"/>
      <c r="U17" s="19" t="s">
        <v>552</v>
      </c>
    </row>
    <row r="18" spans="1:23">
      <c r="A18" s="19">
        <v>4</v>
      </c>
      <c r="B18" s="19" t="s">
        <v>3194</v>
      </c>
      <c r="D18" s="170"/>
      <c r="E18" s="170" t="s">
        <v>553</v>
      </c>
      <c r="U18" s="19" t="s">
        <v>552</v>
      </c>
    </row>
    <row r="19" spans="1:23">
      <c r="A19" s="19">
        <v>5</v>
      </c>
      <c r="B19" s="19" t="s">
        <v>3195</v>
      </c>
      <c r="D19" s="630" t="s">
        <v>2731</v>
      </c>
      <c r="E19" s="170" t="s">
        <v>553</v>
      </c>
      <c r="F19" s="631" t="s">
        <v>2902</v>
      </c>
      <c r="G19" s="631" t="s">
        <v>2732</v>
      </c>
      <c r="H19" s="631"/>
      <c r="I19" s="631" t="s">
        <v>2732</v>
      </c>
      <c r="J19" s="631" t="s">
        <v>2732</v>
      </c>
      <c r="K19" s="631" t="s">
        <v>2732</v>
      </c>
      <c r="L19" s="631" t="s">
        <v>2732</v>
      </c>
      <c r="M19" s="631" t="s">
        <v>2732</v>
      </c>
      <c r="N19" s="631" t="s">
        <v>2732</v>
      </c>
      <c r="O19" s="631" t="s">
        <v>2732</v>
      </c>
      <c r="P19" s="631" t="s">
        <v>2732</v>
      </c>
      <c r="Q19" s="631" t="s">
        <v>2732</v>
      </c>
      <c r="R19" s="631" t="s">
        <v>2732</v>
      </c>
      <c r="S19" s="631"/>
      <c r="T19" s="631" t="s">
        <v>2733</v>
      </c>
      <c r="U19" s="19" t="s">
        <v>552</v>
      </c>
    </row>
    <row r="20" spans="1:23" ht="10.75">
      <c r="A20" s="19">
        <v>6</v>
      </c>
      <c r="B20" s="19" t="s">
        <v>4173</v>
      </c>
      <c r="D20" s="170" t="s">
        <v>3014</v>
      </c>
      <c r="E20" s="170" t="s">
        <v>553</v>
      </c>
      <c r="F20" s="170" t="s">
        <v>902</v>
      </c>
      <c r="G20" s="170" t="s">
        <v>2263</v>
      </c>
      <c r="H20" s="628" t="s">
        <v>1012</v>
      </c>
      <c r="I20" s="170" t="s">
        <v>1013</v>
      </c>
      <c r="J20" s="170" t="s">
        <v>1014</v>
      </c>
      <c r="K20" s="629" t="s">
        <v>1017</v>
      </c>
      <c r="L20" s="629" t="s">
        <v>1018</v>
      </c>
      <c r="M20" s="632" t="s">
        <v>1538</v>
      </c>
      <c r="N20" s="170" t="s">
        <v>1371</v>
      </c>
      <c r="O20" s="633" t="s">
        <v>2264</v>
      </c>
      <c r="P20" s="19" t="s">
        <v>1019</v>
      </c>
      <c r="Q20" s="19" t="s">
        <v>1020</v>
      </c>
      <c r="R20" s="19" t="s">
        <v>3290</v>
      </c>
      <c r="S20" s="19" t="s">
        <v>3962</v>
      </c>
      <c r="T20" s="170"/>
      <c r="U20" s="19" t="s">
        <v>552</v>
      </c>
    </row>
    <row r="21" spans="1:23" s="540" customFormat="1">
      <c r="A21" s="540">
        <v>7</v>
      </c>
      <c r="B21" s="540" t="s">
        <v>4775</v>
      </c>
      <c r="D21" s="540" t="s">
        <v>5045</v>
      </c>
      <c r="E21" s="540" t="s">
        <v>5046</v>
      </c>
      <c r="F21" s="540" t="s">
        <v>5047</v>
      </c>
      <c r="G21" s="540" t="s">
        <v>5048</v>
      </c>
      <c r="H21" s="540" t="s">
        <v>5049</v>
      </c>
      <c r="I21" s="540" t="s">
        <v>5050</v>
      </c>
      <c r="J21" s="540" t="s">
        <v>5051</v>
      </c>
      <c r="K21" s="540" t="s">
        <v>5052</v>
      </c>
      <c r="L21" s="540" t="s">
        <v>4816</v>
      </c>
      <c r="M21" s="540" t="s">
        <v>5053</v>
      </c>
      <c r="N21" s="540" t="s">
        <v>5054</v>
      </c>
      <c r="O21" s="540" t="s">
        <v>5055</v>
      </c>
      <c r="P21" s="540" t="s">
        <v>5056</v>
      </c>
      <c r="Q21" s="540" t="s">
        <v>5057</v>
      </c>
      <c r="R21" s="540" t="s">
        <v>5058</v>
      </c>
      <c r="S21" s="540" t="s">
        <v>5059</v>
      </c>
      <c r="T21" s="540" t="s">
        <v>5060</v>
      </c>
      <c r="U21" s="540" t="s">
        <v>5061</v>
      </c>
    </row>
    <row r="25" spans="1:23" s="627" customFormat="1">
      <c r="B25" s="627" t="s">
        <v>3190</v>
      </c>
      <c r="D25" s="627" t="str">
        <f>IF(D26=0,"",D26)</f>
        <v/>
      </c>
      <c r="E25" s="627">
        <f>LOOKUP($A$1,'Lang Pay'!$A$3:$A$9,'Lang Pay'!E27:E33)</f>
        <v>0</v>
      </c>
      <c r="F25" s="627">
        <f>LOOKUP($A$1,'Lang Pay'!$A$3:$A$9,'Lang Pay'!F27:F33)</f>
        <v>0</v>
      </c>
      <c r="G25" s="627">
        <f>LOOKUP($A$1,'Lang Pay'!$A$3:$A$9,'Lang Pay'!G27:G33)</f>
        <v>0</v>
      </c>
      <c r="H25" s="627">
        <f>LOOKUP($A$1,'Lang Pay'!$A$3:$A$9,'Lang Pay'!H27:H33)</f>
        <v>0</v>
      </c>
      <c r="I25" s="627">
        <f>LOOKUP($A$1,'Lang Pay'!$A$3:$A$9,'Lang Pay'!I27:I33)</f>
        <v>0</v>
      </c>
      <c r="J25" s="627">
        <f>LOOKUP($A$1,'Lang Pay'!$A$3:$A$9,'Lang Pay'!J27:J33)</f>
        <v>0</v>
      </c>
      <c r="K25" s="627" t="str">
        <f>LOOKUP($A$1,'Lang Pay'!$A$3:$A$9,'Lang Pay'!K27:K33)</f>
        <v xml:space="preserve">Expedited processing guaranteed 5 working days required (fee is doubled) </v>
      </c>
      <c r="L25" s="627" t="str">
        <f>LOOKUP($A$1,'Lang Pay'!$A$3:$A$9,'Lang Pay'!L27:L33)</f>
        <v>IRC証書の失効日は</v>
      </c>
      <c r="M25" s="627" t="str">
        <f>LOOKUP($A$1,'Lang Pay'!$A$3:$A$9,'Lang Pay'!M27:M33)</f>
        <v>追加コメント／補足：必要なら別紙を添付する</v>
      </c>
      <c r="N25" s="627" t="str">
        <f>LOOKUP($A$1,'Lang Pay'!$A$3:$A$9,'Lang Pay'!N27:N33)</f>
        <v>Application fee and payment</v>
      </c>
      <c r="O25" s="627" t="str">
        <f>LOOKUP($A$1,'Lang Pay'!$A$3:$A$8,'Lang Pay'!O27:O32)</f>
        <v>GB Pounds</v>
      </c>
      <c r="P25" s="627" t="str">
        <f>LOOKUP($A$1,'Lang Pay'!$A$3:$A$8,'Lang Pay'!P27:P32)</f>
        <v>Make selection below to complete fee calculation</v>
      </c>
      <c r="Q25" s="627" t="str">
        <f>LOOKUP($A$1,'Lang Pay'!$A$3:$A$8,'Lang Pay'!Q27:Q32)</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R25" s="627" t="str">
        <f>LOOKUP($A$1,'Lang Pay'!$A$3:$A$8,'Lang Pay'!R27:R32)</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S25" s="627" t="str">
        <f>LOOKUP($A$1,'Lang Pay'!$A$3:$A$8,'Lang Pay'!S27:S32)</f>
        <v xml:space="preserve"> *Seahorse Rating Ltd trades as the RORC Rating Office. IRC Member Offer Partners are:  </v>
      </c>
      <c r="T25" s="627" t="str">
        <f>LOOKUP($A$1,'Lang Pay'!$A$3:$A$8,'Lang Pay'!T27:T32)</f>
        <v>Seahorse Magazine and SeaSure.</v>
      </c>
      <c r="U25" s="627">
        <f>LOOKUP($A$1,'Lang Pay'!$A$3:$A$8,'Lang Pay'!U27:U32)</f>
        <v>0</v>
      </c>
    </row>
    <row r="27" spans="1:23" ht="90" customHeight="1">
      <c r="A27" s="19">
        <v>1</v>
      </c>
      <c r="B27" s="19" t="s">
        <v>3191</v>
      </c>
      <c r="D27" s="19" t="s">
        <v>3963</v>
      </c>
      <c r="E27" s="19" t="s">
        <v>1007</v>
      </c>
      <c r="F27" s="19" t="s">
        <v>207</v>
      </c>
      <c r="G27" s="19" t="s">
        <v>876</v>
      </c>
      <c r="H27" s="19" t="s">
        <v>903</v>
      </c>
      <c r="I27" s="19" t="s">
        <v>208</v>
      </c>
      <c r="J27" s="19" t="s">
        <v>3759</v>
      </c>
      <c r="K27" s="19" t="s">
        <v>1308</v>
      </c>
      <c r="L27" s="170" t="s">
        <v>635</v>
      </c>
      <c r="M27" s="170" t="s">
        <v>2855</v>
      </c>
      <c r="N27" s="19" t="s">
        <v>5651</v>
      </c>
      <c r="O27" s="19" t="s">
        <v>5653</v>
      </c>
      <c r="P27" s="19" t="s">
        <v>5655</v>
      </c>
      <c r="Q27" s="402" t="s">
        <v>4723</v>
      </c>
      <c r="R27" s="402" t="s">
        <v>4653</v>
      </c>
      <c r="S27" s="623" t="s">
        <v>5659</v>
      </c>
      <c r="T27" s="623" t="s">
        <v>5660</v>
      </c>
      <c r="U27" s="623"/>
      <c r="V27" s="623"/>
      <c r="W27" s="623"/>
    </row>
    <row r="28" spans="1:23" ht="123.45">
      <c r="A28" s="19">
        <v>2</v>
      </c>
      <c r="B28" s="19" t="s">
        <v>3192</v>
      </c>
      <c r="D28" s="158"/>
      <c r="E28" s="158" t="s">
        <v>3650</v>
      </c>
      <c r="F28" s="158" t="s">
        <v>3650</v>
      </c>
      <c r="G28" s="158"/>
      <c r="H28" s="158" t="s">
        <v>3650</v>
      </c>
      <c r="I28" s="158" t="s">
        <v>3650</v>
      </c>
      <c r="J28" s="158"/>
      <c r="K28" s="158" t="s">
        <v>3650</v>
      </c>
      <c r="L28" s="158" t="s">
        <v>634</v>
      </c>
      <c r="M28" s="158" t="s">
        <v>3656</v>
      </c>
      <c r="N28" s="19" t="s">
        <v>5652</v>
      </c>
      <c r="O28" s="19" t="s">
        <v>5654</v>
      </c>
      <c r="P28" s="19" t="s">
        <v>5656</v>
      </c>
      <c r="Q28" s="402" t="s">
        <v>5657</v>
      </c>
      <c r="R28" s="402" t="s">
        <v>5658</v>
      </c>
      <c r="S28" s="635" t="s">
        <v>5661</v>
      </c>
      <c r="T28" s="623" t="s">
        <v>5662</v>
      </c>
      <c r="U28" s="623"/>
      <c r="V28" s="623"/>
      <c r="W28" s="623"/>
    </row>
    <row r="29" spans="1:23" ht="92.6">
      <c r="A29" s="19">
        <v>3</v>
      </c>
      <c r="B29" s="19" t="s">
        <v>3193</v>
      </c>
      <c r="D29" s="170"/>
      <c r="E29" s="631" t="s">
        <v>4077</v>
      </c>
      <c r="F29" s="631" t="s">
        <v>4077</v>
      </c>
      <c r="G29" s="631"/>
      <c r="H29" s="631" t="s">
        <v>4077</v>
      </c>
      <c r="I29" s="631" t="s">
        <v>4077</v>
      </c>
      <c r="J29" s="631"/>
      <c r="K29" s="631" t="s">
        <v>4077</v>
      </c>
      <c r="L29" s="631" t="s">
        <v>4078</v>
      </c>
      <c r="M29" s="631" t="s">
        <v>2752</v>
      </c>
      <c r="N29" s="19" t="s">
        <v>5651</v>
      </c>
      <c r="O29" s="19" t="s">
        <v>5654</v>
      </c>
      <c r="P29" s="19" t="s">
        <v>5655</v>
      </c>
      <c r="Q29" s="402" t="s">
        <v>4723</v>
      </c>
      <c r="R29" s="402" t="s">
        <v>4653</v>
      </c>
      <c r="S29" s="623" t="s">
        <v>5659</v>
      </c>
      <c r="T29" s="623" t="s">
        <v>5660</v>
      </c>
      <c r="U29" s="623"/>
      <c r="V29" s="623"/>
      <c r="W29" s="623"/>
    </row>
    <row r="30" spans="1:23">
      <c r="A30" s="19">
        <v>4</v>
      </c>
      <c r="B30" s="19" t="s">
        <v>3194</v>
      </c>
      <c r="D30" s="170"/>
      <c r="F30" s="170"/>
      <c r="G30" s="170"/>
      <c r="H30" s="170"/>
      <c r="I30" s="170"/>
      <c r="J30" s="170"/>
      <c r="M30" s="170"/>
      <c r="N30" s="170"/>
      <c r="O30" s="170"/>
      <c r="P30" s="170"/>
      <c r="Q30" s="170"/>
      <c r="S30" s="623"/>
      <c r="T30" s="623"/>
      <c r="U30" s="623"/>
      <c r="V30" s="623"/>
      <c r="W30" s="623"/>
    </row>
    <row r="31" spans="1:23" ht="92.6">
      <c r="A31" s="19">
        <v>5</v>
      </c>
      <c r="B31" s="19" t="s">
        <v>3195</v>
      </c>
      <c r="D31" s="170"/>
      <c r="E31" s="631" t="s">
        <v>2732</v>
      </c>
      <c r="F31" s="631" t="s">
        <v>2732</v>
      </c>
      <c r="G31" s="631"/>
      <c r="H31" s="631" t="s">
        <v>2732</v>
      </c>
      <c r="I31" s="631" t="s">
        <v>2732</v>
      </c>
      <c r="J31" s="631"/>
      <c r="K31" s="631" t="s">
        <v>2732</v>
      </c>
      <c r="L31" s="631" t="s">
        <v>2734</v>
      </c>
      <c r="M31" s="630" t="s">
        <v>2735</v>
      </c>
      <c r="N31" s="19" t="s">
        <v>5651</v>
      </c>
      <c r="O31" s="19" t="s">
        <v>5654</v>
      </c>
      <c r="P31" s="19" t="s">
        <v>5655</v>
      </c>
      <c r="Q31" s="402" t="s">
        <v>4723</v>
      </c>
      <c r="R31" s="635" t="s">
        <v>4653</v>
      </c>
      <c r="S31" s="623" t="s">
        <v>5659</v>
      </c>
      <c r="T31" s="19" t="s">
        <v>5660</v>
      </c>
    </row>
    <row r="32" spans="1:23" ht="92.6">
      <c r="A32" s="19">
        <v>6</v>
      </c>
      <c r="B32" s="19" t="s">
        <v>4173</v>
      </c>
      <c r="K32" s="19" t="s">
        <v>1308</v>
      </c>
      <c r="L32" s="170" t="s">
        <v>3496</v>
      </c>
      <c r="M32" s="170" t="s">
        <v>3497</v>
      </c>
      <c r="N32" s="19" t="s">
        <v>5651</v>
      </c>
      <c r="O32" s="19" t="s">
        <v>5653</v>
      </c>
      <c r="P32" s="19" t="s">
        <v>5655</v>
      </c>
      <c r="Q32" s="402" t="s">
        <v>4723</v>
      </c>
      <c r="R32" s="635" t="s">
        <v>4653</v>
      </c>
      <c r="S32" s="623" t="s">
        <v>5659</v>
      </c>
      <c r="T32" s="19" t="s">
        <v>5660</v>
      </c>
    </row>
    <row r="33" spans="1:20" s="540" customFormat="1" ht="92.6">
      <c r="A33" s="540">
        <v>7</v>
      </c>
      <c r="B33" s="540" t="s">
        <v>4775</v>
      </c>
      <c r="D33" s="540" t="s">
        <v>5062</v>
      </c>
      <c r="E33" s="540" t="s">
        <v>5062</v>
      </c>
      <c r="F33" s="540" t="s">
        <v>5062</v>
      </c>
      <c r="G33" s="540" t="s">
        <v>5062</v>
      </c>
      <c r="H33" s="540" t="s">
        <v>5062</v>
      </c>
      <c r="I33" s="540" t="s">
        <v>5062</v>
      </c>
      <c r="J33" s="540" t="s">
        <v>5062</v>
      </c>
      <c r="K33" s="540" t="s">
        <v>5062</v>
      </c>
      <c r="L33" s="540" t="s">
        <v>5063</v>
      </c>
      <c r="M33" s="540" t="s">
        <v>5064</v>
      </c>
      <c r="N33" s="19" t="s">
        <v>5651</v>
      </c>
      <c r="O33" s="19" t="s">
        <v>5654</v>
      </c>
      <c r="P33" s="19" t="s">
        <v>5655</v>
      </c>
      <c r="Q33" s="402" t="s">
        <v>4723</v>
      </c>
      <c r="R33" s="636" t="s">
        <v>4653</v>
      </c>
      <c r="S33" s="623" t="s">
        <v>5659</v>
      </c>
      <c r="T33" s="540" t="s">
        <v>5660</v>
      </c>
    </row>
    <row r="36" spans="1:20" s="627" customFormat="1">
      <c r="B36" s="627" t="s">
        <v>3190</v>
      </c>
      <c r="D36" s="627" t="str">
        <f>LOOKUP($A$1,'Lang Pay'!$A$3:$A$9,'Lang Pay'!D38:D44)</f>
        <v>欄外へはみ出さないこと</v>
      </c>
      <c r="E36" s="627" t="str">
        <f>LOOKUP($A$1,'Lang Pay'!$A$3:$A$9,'Lang Pay'!E38:E44)</f>
        <v>追加の説明がある場合は、フォーム下の追加コメント欄を使うか、Eメールにより提出して下さい。</v>
      </c>
      <c r="F36" s="627" t="str">
        <f>LOOKUP($A$1,'Lang Pay'!$A$3:$A$9,'Lang Pay'!F38:F44)</f>
        <v>HHW Default=50%LP</v>
      </c>
      <c r="G36" s="627" t="str">
        <f>LOOKUP($A$1,'Lang Pay'!$A$3:$A$9,'Lang Pay'!G38:G44)</f>
        <v>HTW Default=25%LP、 ただし LP &lt; 1.1*J の場合、default=30%LP</v>
      </c>
      <c r="H36" s="627" t="str">
        <f>LOOKUP($A$1,'Lang Pay'!$A$3:$A$9,'Lang Pay'!H38:H44)</f>
        <v>LP/J ＜1.30の場合、ファーラー優遇は与えられない：</v>
      </c>
      <c r="I36" s="627" t="str">
        <f>LOOKUP($A$1,'Lang Pay'!$A$3:$A$9,'Lang Pay'!I38:I44)</f>
        <v>yesの場合、下に詳細を記す</v>
      </c>
      <c r="J36" s="627">
        <f>LOOKUP($A$1,'Lang Pay'!$A$3:$A$9,'Lang Pay'!J38:J44)</f>
        <v>0</v>
      </c>
      <c r="K36" s="627">
        <f>LOOKUP($A$1,'Lang Pay'!$A$3:$A$9,'Lang Pay'!K38:K44)</f>
        <v>0</v>
      </c>
    </row>
    <row r="38" spans="1:20">
      <c r="A38" s="19">
        <v>1</v>
      </c>
      <c r="B38" s="19" t="s">
        <v>3191</v>
      </c>
      <c r="D38" s="170" t="s">
        <v>205</v>
      </c>
      <c r="E38" s="19" t="s">
        <v>168</v>
      </c>
      <c r="F38" s="19" t="s">
        <v>909</v>
      </c>
      <c r="G38" s="637" t="s">
        <v>3086</v>
      </c>
      <c r="H38" s="377" t="s">
        <v>3620</v>
      </c>
      <c r="I38" s="19" t="s">
        <v>2190</v>
      </c>
      <c r="J38" s="638" t="s">
        <v>4270</v>
      </c>
    </row>
    <row r="39" spans="1:20">
      <c r="A39" s="19">
        <v>2</v>
      </c>
      <c r="B39" s="19" t="s">
        <v>3192</v>
      </c>
      <c r="D39" s="158" t="s">
        <v>3651</v>
      </c>
      <c r="E39" s="158" t="s">
        <v>3653</v>
      </c>
      <c r="F39" s="158" t="s">
        <v>3654</v>
      </c>
      <c r="G39" s="158" t="s">
        <v>3087</v>
      </c>
      <c r="H39" s="158" t="s">
        <v>3621</v>
      </c>
      <c r="I39" s="158" t="s">
        <v>3655</v>
      </c>
      <c r="J39" s="19" t="s">
        <v>1482</v>
      </c>
      <c r="K39" s="158"/>
    </row>
    <row r="40" spans="1:20">
      <c r="A40" s="19">
        <v>3</v>
      </c>
      <c r="B40" s="19" t="s">
        <v>3193</v>
      </c>
      <c r="D40" s="630" t="s">
        <v>1306</v>
      </c>
      <c r="E40" s="631" t="s">
        <v>4052</v>
      </c>
      <c r="F40" s="639" t="s">
        <v>4053</v>
      </c>
      <c r="G40" s="631" t="s">
        <v>3088</v>
      </c>
      <c r="H40" s="631" t="s">
        <v>2275</v>
      </c>
      <c r="I40" s="631" t="s">
        <v>3418</v>
      </c>
      <c r="J40" s="640" t="s">
        <v>3419</v>
      </c>
    </row>
    <row r="41" spans="1:20">
      <c r="A41" s="19">
        <v>4</v>
      </c>
      <c r="B41" s="19" t="s">
        <v>3194</v>
      </c>
      <c r="D41" s="170"/>
      <c r="J41" s="377"/>
    </row>
    <row r="42" spans="1:20">
      <c r="A42" s="19">
        <v>5</v>
      </c>
      <c r="B42" s="19" t="s">
        <v>3195</v>
      </c>
      <c r="D42" s="630" t="s">
        <v>2736</v>
      </c>
      <c r="E42" s="631" t="s">
        <v>2737</v>
      </c>
      <c r="F42" s="631" t="s">
        <v>2738</v>
      </c>
      <c r="G42" s="631" t="s">
        <v>3089</v>
      </c>
      <c r="H42" s="631" t="s">
        <v>2276</v>
      </c>
      <c r="I42" s="631" t="s">
        <v>2739</v>
      </c>
      <c r="J42" s="640" t="s">
        <v>2740</v>
      </c>
    </row>
    <row r="43" spans="1:20">
      <c r="A43" s="19">
        <v>6</v>
      </c>
      <c r="B43" s="19" t="s">
        <v>4173</v>
      </c>
      <c r="D43" s="170" t="s">
        <v>3498</v>
      </c>
      <c r="E43" s="19" t="s">
        <v>3499</v>
      </c>
      <c r="F43" s="19" t="s">
        <v>909</v>
      </c>
      <c r="G43" s="641" t="s">
        <v>1900</v>
      </c>
      <c r="H43" s="642" t="s">
        <v>1901</v>
      </c>
      <c r="I43" s="19" t="s">
        <v>3500</v>
      </c>
      <c r="J43" s="377"/>
    </row>
    <row r="44" spans="1:20" s="540" customFormat="1">
      <c r="A44" s="540">
        <v>7</v>
      </c>
      <c r="B44" s="540" t="s">
        <v>4775</v>
      </c>
      <c r="D44" s="540" t="s">
        <v>5065</v>
      </c>
      <c r="E44" s="540" t="s">
        <v>5066</v>
      </c>
      <c r="F44" s="540" t="s">
        <v>909</v>
      </c>
      <c r="G44" s="540" t="s">
        <v>5067</v>
      </c>
      <c r="H44" s="540" t="s">
        <v>5068</v>
      </c>
      <c r="I44" s="540" t="s">
        <v>5069</v>
      </c>
      <c r="J44" s="540" t="s">
        <v>5070</v>
      </c>
    </row>
  </sheetData>
  <sheetProtection algorithmName="SHA-512" hashValue="c5+rwdYeoKlC3KdnyN2fOTNCjV/rzOLQO6dtPhwfNC16K9ye8XCWtSe++oAV9hM8LB8IguWS8qJ4uYDLMX0Ipg==" saltValue="Q7i8it9DLp5Ct3XF4JgwnQ==" spinCount="100000" sheet="1" objects="1" scenarios="1"/>
  <phoneticPr fontId="19"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J4" workbookViewId="0">
      <selection activeCell="L27" sqref="L27"/>
    </sheetView>
  </sheetViews>
  <sheetFormatPr defaultColWidth="9.15234375" defaultRowHeight="12.45"/>
  <cols>
    <col min="1" max="1" width="5.53515625" customWidth="1"/>
    <col min="2" max="2" width="11.4609375" bestFit="1" customWidth="1"/>
    <col min="4" max="4" width="33.53515625" bestFit="1" customWidth="1"/>
    <col min="5" max="5" width="39.53515625" bestFit="1" customWidth="1"/>
    <col min="6" max="6" width="69.15234375" customWidth="1"/>
    <col min="7" max="7" width="38.15234375" bestFit="1" customWidth="1"/>
    <col min="8" max="8" width="60.15234375" bestFit="1" customWidth="1"/>
    <col min="9" max="9" width="69.15234375" bestFit="1" customWidth="1"/>
    <col min="10" max="10" width="88.15234375" bestFit="1" customWidth="1"/>
    <col min="11" max="11" width="46.07421875" bestFit="1" customWidth="1"/>
    <col min="12" max="12" width="42" customWidth="1"/>
    <col min="13" max="13" width="33.4609375" bestFit="1" customWidth="1"/>
    <col min="14" max="14" width="9.15234375" style="61"/>
    <col min="15" max="15" width="58" customWidth="1"/>
    <col min="16" max="16" width="20.4609375" bestFit="1" customWidth="1"/>
    <col min="17" max="17" width="42.921875" bestFit="1" customWidth="1"/>
    <col min="18" max="18" width="22.07421875" bestFit="1" customWidth="1"/>
    <col min="19" max="19" width="18.61328125" bestFit="1" customWidth="1"/>
    <col min="20" max="20" width="24.07421875" bestFit="1" customWidth="1"/>
    <col min="21" max="21" width="21.53515625" bestFit="1" customWidth="1"/>
  </cols>
  <sheetData>
    <row r="1" spans="1:22" s="145" customFormat="1">
      <c r="A1" s="145">
        <f>Application!H441</f>
        <v>6</v>
      </c>
      <c r="B1" s="145" t="s">
        <v>3190</v>
      </c>
      <c r="D1" s="145" t="str">
        <f>LOOKUP($A$1,'Lang Drops'!$A$3:$A$9,'Lang Drops'!D3:D9)</f>
        <v>&lt;select from list&gt;</v>
      </c>
      <c r="E1" s="145" t="str">
        <f>LOOKUP($A$1,'Lang Drops'!$A$3:$A$9,'Lang Drops'!E3:E9)</f>
        <v>ULDB</v>
      </c>
      <c r="F1" s="145" t="str">
        <f>LOOKUP($A$1,'Lang Drops'!$A$3:$A$9,'Lang Drops'!F3:F9)</f>
        <v>LDB</v>
      </c>
      <c r="G1" s="145" t="str">
        <f>LOOKUP($A$1,'Lang Drops'!$A$3:$A$9,'Lang Drops'!G3:G9)</f>
        <v>racer/cruiser</v>
      </c>
      <c r="H1" s="145" t="str">
        <f>LOOKUP($A$1,'Lang Drops'!$A$3:$A$9,'Lang Drops'!H3:H9)</f>
        <v>cruiser/racer</v>
      </c>
      <c r="I1" s="145" t="str">
        <f>LOOKUP($A$1,'Lang Drops'!$A$3:$A$9,'Lang Drops'!I3:I9)</f>
        <v>modern cruiser</v>
      </c>
      <c r="J1" s="145" t="str">
        <f>LOOKUP($A$1,'Lang Drops'!$A$3:$A$9,'Lang Drops'!J3:J9)</f>
        <v>traditional cruiser</v>
      </c>
      <c r="K1" s="145" t="str">
        <f>LOOKUP($A$1,'Lang Drops'!$A$3:$A$9,'Lang Drops'!K3:K9)</f>
        <v>workboat</v>
      </c>
      <c r="L1" s="145" t="str">
        <f>LOOKUP($A$1,'Lang Drops'!$A$3:$A$9,'Lang Drops'!L3:L9)</f>
        <v>その他もしくは複数回答</v>
      </c>
      <c r="M1" s="145" t="str">
        <f>LOOKUP($A$1,'Lang Drops'!$A$3:$A$9,'Lang Drops'!M3:M9)</f>
        <v>fair form</v>
      </c>
      <c r="N1" s="145" t="str">
        <f>LOOKUP($A$1,'Lang Drops'!$A$3:$A$9,'Lang Drops'!N3:N9)</f>
        <v>IOR (creased,bumps)</v>
      </c>
      <c r="O1" s="145" t="str">
        <f>LOOKUP($A$1,'Lang Drops'!$A$3:$A$9,'Lang Drops'!O3:O9)</f>
        <v>single full length hard chine</v>
      </c>
      <c r="P1" s="145" t="str">
        <f>LOOKUP($A$1,'Lang Drops'!$A$3:$A$9,'Lang Drops'!P3:P9)</f>
        <v>multichined</v>
      </c>
      <c r="Q1" s="145" t="str">
        <f>LOOKUP($A$1,'Lang Drops'!$A$3:$A$9,'Lang Drops'!Q3:Q9)</f>
        <v>clinker</v>
      </c>
      <c r="R1" s="145" t="str">
        <f>LOOKUP($A$1,'Lang Drops'!$A$3:$A$9,'Lang Drops'!R3:R9)</f>
        <v>other (please specify)</v>
      </c>
    </row>
    <row r="2" spans="1:22">
      <c r="D2" s="20"/>
    </row>
    <row r="3" spans="1:22">
      <c r="A3">
        <v>1</v>
      </c>
      <c r="B3" t="s">
        <v>3191</v>
      </c>
      <c r="D3" s="32" t="s">
        <v>3929</v>
      </c>
      <c r="E3" s="32" t="s">
        <v>3198</v>
      </c>
      <c r="F3" s="32" t="s">
        <v>3200</v>
      </c>
      <c r="G3" s="32" t="s">
        <v>3202</v>
      </c>
      <c r="H3" s="32" t="s">
        <v>3147</v>
      </c>
      <c r="I3" s="32" t="s">
        <v>3149</v>
      </c>
      <c r="J3" s="32" t="s">
        <v>3151</v>
      </c>
      <c r="K3" s="32" t="s">
        <v>3153</v>
      </c>
      <c r="L3" s="502" t="s">
        <v>4759</v>
      </c>
      <c r="M3" s="32" t="s">
        <v>3164</v>
      </c>
      <c r="N3" s="75" t="s">
        <v>1519</v>
      </c>
      <c r="O3" s="40" t="s">
        <v>4370</v>
      </c>
      <c r="P3" s="32" t="s">
        <v>859</v>
      </c>
      <c r="Q3" s="32" t="s">
        <v>869</v>
      </c>
      <c r="R3" s="32" t="s">
        <v>3155</v>
      </c>
    </row>
    <row r="4" spans="1:22">
      <c r="A4">
        <v>2</v>
      </c>
      <c r="B4" t="s">
        <v>3192</v>
      </c>
      <c r="D4" s="61" t="s">
        <v>3657</v>
      </c>
      <c r="E4" s="61" t="s">
        <v>3198</v>
      </c>
      <c r="F4" s="61" t="s">
        <v>3200</v>
      </c>
      <c r="G4" t="s">
        <v>3658</v>
      </c>
      <c r="H4" s="61" t="s">
        <v>3659</v>
      </c>
      <c r="I4" s="61" t="s">
        <v>3660</v>
      </c>
      <c r="J4" s="61" t="s">
        <v>3661</v>
      </c>
      <c r="K4" s="61" t="s">
        <v>3662</v>
      </c>
      <c r="L4" s="307" t="s">
        <v>4756</v>
      </c>
      <c r="M4" s="61" t="s">
        <v>1908</v>
      </c>
      <c r="N4" s="61" t="s">
        <v>1909</v>
      </c>
      <c r="O4" s="53" t="s">
        <v>4583</v>
      </c>
      <c r="P4" s="61" t="s">
        <v>3730</v>
      </c>
      <c r="Q4" s="61" t="s">
        <v>3731</v>
      </c>
      <c r="R4" s="61" t="s">
        <v>1907</v>
      </c>
    </row>
    <row r="5" spans="1:22">
      <c r="A5">
        <v>3</v>
      </c>
      <c r="B5" t="s">
        <v>3193</v>
      </c>
      <c r="D5" s="79" t="s">
        <v>2753</v>
      </c>
      <c r="E5" s="79" t="s">
        <v>3198</v>
      </c>
      <c r="F5" s="79" t="s">
        <v>3200</v>
      </c>
      <c r="G5" s="79" t="s">
        <v>2754</v>
      </c>
      <c r="H5" s="79" t="s">
        <v>3470</v>
      </c>
      <c r="I5" s="79" t="s">
        <v>3471</v>
      </c>
      <c r="J5" s="79" t="s">
        <v>3472</v>
      </c>
      <c r="K5" s="79" t="s">
        <v>3473</v>
      </c>
      <c r="L5" s="53" t="s">
        <v>4757</v>
      </c>
      <c r="M5" s="79" t="s">
        <v>3475</v>
      </c>
      <c r="N5" s="541" t="s">
        <v>3476</v>
      </c>
      <c r="O5" s="53" t="s">
        <v>4584</v>
      </c>
      <c r="P5" s="79" t="s">
        <v>3477</v>
      </c>
      <c r="Q5" s="79" t="s">
        <v>869</v>
      </c>
      <c r="R5" s="79" t="s">
        <v>3478</v>
      </c>
    </row>
    <row r="6" spans="1:22">
      <c r="A6">
        <v>4</v>
      </c>
      <c r="B6" t="s">
        <v>3194</v>
      </c>
      <c r="O6" s="307"/>
    </row>
    <row r="7" spans="1:22" ht="13.3">
      <c r="A7">
        <v>5</v>
      </c>
      <c r="B7" t="s">
        <v>3195</v>
      </c>
      <c r="D7" s="79" t="s">
        <v>2741</v>
      </c>
      <c r="E7" s="79" t="s">
        <v>3198</v>
      </c>
      <c r="F7" s="79" t="s">
        <v>3200</v>
      </c>
      <c r="G7" s="79" t="s">
        <v>3768</v>
      </c>
      <c r="H7" s="79" t="s">
        <v>3502</v>
      </c>
      <c r="I7" s="79" t="s">
        <v>3503</v>
      </c>
      <c r="J7" s="79" t="s">
        <v>3504</v>
      </c>
      <c r="K7" s="79" t="s">
        <v>3505</v>
      </c>
      <c r="L7" s="501" t="s">
        <v>4758</v>
      </c>
      <c r="M7" s="79" t="s">
        <v>3094</v>
      </c>
      <c r="N7" s="541" t="s">
        <v>1469</v>
      </c>
      <c r="O7" s="344" t="s">
        <v>4293</v>
      </c>
      <c r="P7" s="79" t="s">
        <v>1470</v>
      </c>
      <c r="Q7" s="79" t="s">
        <v>2132</v>
      </c>
      <c r="R7" s="79" t="s">
        <v>3093</v>
      </c>
    </row>
    <row r="8" spans="1:22">
      <c r="A8">
        <v>6</v>
      </c>
      <c r="B8" t="s">
        <v>3110</v>
      </c>
      <c r="D8" s="32" t="s">
        <v>3929</v>
      </c>
      <c r="E8" s="32" t="s">
        <v>3198</v>
      </c>
      <c r="F8" s="32" t="s">
        <v>3200</v>
      </c>
      <c r="G8" s="32" t="s">
        <v>3202</v>
      </c>
      <c r="H8" s="32" t="s">
        <v>3147</v>
      </c>
      <c r="I8" s="32" t="s">
        <v>3149</v>
      </c>
      <c r="J8" s="32" t="s">
        <v>3151</v>
      </c>
      <c r="K8" s="32" t="s">
        <v>3153</v>
      </c>
      <c r="L8" s="505" t="s">
        <v>4774</v>
      </c>
      <c r="M8" s="32" t="s">
        <v>3164</v>
      </c>
      <c r="N8" s="75" t="s">
        <v>1519</v>
      </c>
      <c r="O8" s="40" t="s">
        <v>4292</v>
      </c>
      <c r="P8" s="32" t="s">
        <v>859</v>
      </c>
      <c r="Q8" s="32" t="s">
        <v>869</v>
      </c>
      <c r="R8" s="32" t="s">
        <v>3155</v>
      </c>
    </row>
    <row r="9" spans="1:22" s="510" customFormat="1">
      <c r="A9" s="510">
        <v>7</v>
      </c>
      <c r="B9" s="510" t="s">
        <v>4775</v>
      </c>
      <c r="D9" s="511" t="s">
        <v>5071</v>
      </c>
      <c r="E9" s="511" t="s">
        <v>5072</v>
      </c>
      <c r="F9" s="511" t="s">
        <v>5073</v>
      </c>
      <c r="G9" s="511" t="s">
        <v>5084</v>
      </c>
      <c r="H9" s="511" t="s">
        <v>5085</v>
      </c>
      <c r="I9" s="511" t="s">
        <v>5086</v>
      </c>
      <c r="J9" s="511" t="s">
        <v>5087</v>
      </c>
      <c r="K9" s="511" t="s">
        <v>5088</v>
      </c>
      <c r="L9" s="512" t="s">
        <v>5089</v>
      </c>
      <c r="M9" s="511" t="s">
        <v>5090</v>
      </c>
      <c r="N9" s="535" t="s">
        <v>5091</v>
      </c>
      <c r="O9" s="511" t="s">
        <v>5092</v>
      </c>
      <c r="P9" s="511" t="s">
        <v>5093</v>
      </c>
      <c r="Q9" s="511" t="s">
        <v>5094</v>
      </c>
      <c r="R9" s="511" t="s">
        <v>5095</v>
      </c>
    </row>
    <row r="10" spans="1:22">
      <c r="D10" s="32"/>
    </row>
    <row r="11" spans="1:22" s="145" customFormat="1">
      <c r="B11" s="145" t="s">
        <v>3190</v>
      </c>
      <c r="D11" s="145" t="str">
        <f>LOOKUP($A$1,'Lang Drops'!$A$3:$A$9,'Lang Drops'!D13:D19)</f>
        <v>fixed single fin</v>
      </c>
      <c r="E11" s="145" t="str">
        <f>LOOKUP($A$1,'Lang Drops'!$A$3:$A$9,'Lang Drops'!E13:E19)</f>
        <v>traditonal long keel</v>
      </c>
      <c r="F11" s="145" t="str">
        <f>LOOKUP($A$1,'Lang Drops'!$A$3:$A$9,'Lang Drops'!F13:F19)</f>
        <v>centreboard</v>
      </c>
      <c r="G11" s="145" t="str">
        <f>LOOKUP($A$1,'Lang Drops'!$A$3:$A$9,'Lang Drops'!G13:G19)</f>
        <v>drop keel</v>
      </c>
      <c r="H11" s="145" t="str">
        <f>LOOKUP($A$1,'Lang Drops'!$A$3:$A$9,'Lang Drops'!H13:H19)</f>
        <v>drop keel fixed down</v>
      </c>
      <c r="I11" s="145" t="str">
        <f>LOOKUP($A$1,'Lang Drops'!$A$3:$A$9,'Lang Drops'!I13:I19)</f>
        <v>stub keel + c/board</v>
      </c>
      <c r="J11" s="145" t="str">
        <f>LOOKUP($A$1,'Lang Drops'!$A$3:$A$9,'Lang Drops'!J13:J19)</f>
        <v>twin bilge keels</v>
      </c>
      <c r="K11" s="145" t="str">
        <f>LOOKUP($A$1,'Lang Drops'!$A$3:$A$9,'Lang Drops'!K13:K19)</f>
        <v>triple keels</v>
      </c>
      <c r="L11" s="145" t="str">
        <f>LOOKUP($A$1,'Lang Drops'!$A$3:$A$9,'Lang Drops'!L13:L19)</f>
        <v>canting keel</v>
      </c>
      <c r="M11" s="145" t="str">
        <f>LOOKUP($A$1,'Lang Drops'!$A$3:$A$9,'Lang Drops'!M13:M19)</f>
        <v>other (please specify)</v>
      </c>
      <c r="N11" s="145" t="str">
        <f>LOOKUP($A$1,'Lang Drops'!$A$3:$A$9,'Lang Drops'!N13:N19)</f>
        <v>spade</v>
      </c>
      <c r="O11" s="145" t="str">
        <f>LOOKUP($A$1,'Lang Drops'!$A$3:$A$9,'Lang Drops'!O13:O19)</f>
        <v>small IOR skeg</v>
      </c>
      <c r="P11" s="145" t="str">
        <f>LOOKUP($A$1,'Lang Drops'!$A$3:$A$9,'Lang Drops'!P13:P19)</f>
        <v>modern transom hung</v>
      </c>
      <c r="Q11" s="145" t="str">
        <f>LOOKUP($A$1,'Lang Drops'!$A$3:$A$9,'Lang Drops'!Q13:Q19)</f>
        <v>half depth skeg</v>
      </c>
      <c r="R11" s="145" t="str">
        <f>LOOKUP($A$1,'Lang Drops'!$A$3:$A$9,'Lang Drops'!R13:R19)</f>
        <v>twin spade</v>
      </c>
      <c r="S11" s="145" t="str">
        <f>LOOKUP($A$1,'Lang Drops'!$A$3:$A$9,'Lang Drops'!S13:S19)</f>
        <v>twin transom hung</v>
      </c>
      <c r="T11" s="145" t="str">
        <f>LOOKUP($A$1,'Lang Drops'!$A$3:$A$9,'Lang Drops'!T13:T19)</f>
        <v>full depth skeg</v>
      </c>
      <c r="U11" s="145" t="str">
        <f>LOOKUP($A$1,'Lang Drops'!$A$3:$A$9,'Lang Drops'!U13:U19)</f>
        <v>traditonal hung on keel</v>
      </c>
      <c r="V11" s="145" t="str">
        <f>LOOKUP($A$1,'Lang Drops'!$A$3:$A$9,'Lang Drops'!V13:V19)</f>
        <v>other (please specify)</v>
      </c>
    </row>
    <row r="12" spans="1:22">
      <c r="D12" s="20"/>
    </row>
    <row r="13" spans="1:22">
      <c r="A13">
        <v>1</v>
      </c>
      <c r="B13" t="s">
        <v>3191</v>
      </c>
      <c r="D13" s="32" t="s">
        <v>182</v>
      </c>
      <c r="E13" s="32" t="s">
        <v>874</v>
      </c>
      <c r="F13" s="32" t="s">
        <v>695</v>
      </c>
      <c r="G13" s="32" t="s">
        <v>698</v>
      </c>
      <c r="H13" s="28" t="s">
        <v>1557</v>
      </c>
      <c r="I13" s="32" t="s">
        <v>3800</v>
      </c>
      <c r="J13" s="32" t="s">
        <v>3453</v>
      </c>
      <c r="K13" s="32" t="s">
        <v>3623</v>
      </c>
      <c r="L13" s="32" t="s">
        <v>3625</v>
      </c>
      <c r="M13" s="32" t="s">
        <v>3155</v>
      </c>
      <c r="N13" s="75" t="s">
        <v>3638</v>
      </c>
      <c r="O13" s="32" t="s">
        <v>3934</v>
      </c>
      <c r="P13" s="32" t="s">
        <v>3637</v>
      </c>
      <c r="Q13" s="32" t="s">
        <v>3937</v>
      </c>
      <c r="R13" s="32" t="s">
        <v>3935</v>
      </c>
      <c r="S13" s="32" t="s">
        <v>3936</v>
      </c>
      <c r="T13" s="32" t="s">
        <v>3317</v>
      </c>
      <c r="U13" s="32" t="s">
        <v>3774</v>
      </c>
      <c r="V13" s="32" t="s">
        <v>3155</v>
      </c>
    </row>
    <row r="14" spans="1:22">
      <c r="A14">
        <v>2</v>
      </c>
      <c r="B14" t="s">
        <v>3192</v>
      </c>
      <c r="D14" s="61" t="s">
        <v>3732</v>
      </c>
      <c r="E14" s="61" t="s">
        <v>3733</v>
      </c>
      <c r="F14" s="61" t="s">
        <v>3734</v>
      </c>
      <c r="G14" t="s">
        <v>3735</v>
      </c>
      <c r="H14" s="174" t="s">
        <v>3249</v>
      </c>
      <c r="I14" s="61" t="s">
        <v>3736</v>
      </c>
      <c r="J14" s="61" t="s">
        <v>3737</v>
      </c>
      <c r="K14" s="61" t="s">
        <v>3738</v>
      </c>
      <c r="L14" s="61" t="s">
        <v>3739</v>
      </c>
      <c r="M14" s="61" t="s">
        <v>1907</v>
      </c>
      <c r="N14" s="61" t="s">
        <v>3740</v>
      </c>
      <c r="O14" s="61" t="s">
        <v>3741</v>
      </c>
      <c r="P14" s="61" t="s">
        <v>3742</v>
      </c>
      <c r="Q14" s="61" t="s">
        <v>3743</v>
      </c>
      <c r="R14" s="61" t="s">
        <v>3746</v>
      </c>
      <c r="S14" s="61" t="s">
        <v>5703</v>
      </c>
      <c r="T14" s="61" t="s">
        <v>3744</v>
      </c>
      <c r="U14" s="61" t="s">
        <v>3747</v>
      </c>
      <c r="V14" s="61" t="s">
        <v>1907</v>
      </c>
    </row>
    <row r="15" spans="1:22">
      <c r="A15">
        <v>3</v>
      </c>
      <c r="B15" t="s">
        <v>3193</v>
      </c>
      <c r="D15" s="79" t="s">
        <v>3479</v>
      </c>
      <c r="E15" s="79" t="s">
        <v>3480</v>
      </c>
      <c r="F15" s="79" t="s">
        <v>3481</v>
      </c>
      <c r="G15" s="79" t="s">
        <v>3482</v>
      </c>
      <c r="H15" s="79" t="s">
        <v>1928</v>
      </c>
      <c r="I15" s="79" t="s">
        <v>1929</v>
      </c>
      <c r="J15" s="79" t="s">
        <v>1910</v>
      </c>
      <c r="K15" s="79" t="s">
        <v>1930</v>
      </c>
      <c r="L15" s="79" t="s">
        <v>1931</v>
      </c>
      <c r="M15" s="79" t="s">
        <v>3474</v>
      </c>
      <c r="N15" s="541" t="s">
        <v>1932</v>
      </c>
      <c r="O15" s="79" t="s">
        <v>1933</v>
      </c>
      <c r="P15" s="79" t="s">
        <v>1934</v>
      </c>
      <c r="Q15" s="79" t="s">
        <v>1935</v>
      </c>
      <c r="R15" s="79" t="s">
        <v>2742</v>
      </c>
      <c r="S15" s="79" t="s">
        <v>5704</v>
      </c>
      <c r="T15" s="79" t="s">
        <v>1936</v>
      </c>
      <c r="U15" s="79" t="s">
        <v>2743</v>
      </c>
      <c r="V15" s="79" t="s">
        <v>3474</v>
      </c>
    </row>
    <row r="16" spans="1:22">
      <c r="A16">
        <v>4</v>
      </c>
      <c r="B16" t="s">
        <v>3194</v>
      </c>
    </row>
    <row r="17" spans="1:22">
      <c r="A17">
        <v>5</v>
      </c>
      <c r="B17" t="s">
        <v>3195</v>
      </c>
      <c r="D17" s="79" t="s">
        <v>2904</v>
      </c>
      <c r="E17" s="79" t="s">
        <v>2905</v>
      </c>
      <c r="F17" s="79" t="s">
        <v>2906</v>
      </c>
      <c r="G17" s="79" t="s">
        <v>2907</v>
      </c>
      <c r="H17" s="79" t="s">
        <v>2908</v>
      </c>
      <c r="I17" s="79" t="s">
        <v>2909</v>
      </c>
      <c r="J17" s="79" t="s">
        <v>2910</v>
      </c>
      <c r="K17" s="79" t="s">
        <v>2911</v>
      </c>
      <c r="L17" s="79" t="s">
        <v>2912</v>
      </c>
      <c r="M17" s="175" t="s">
        <v>2913</v>
      </c>
      <c r="N17" s="541" t="s">
        <v>2914</v>
      </c>
      <c r="O17" s="79" t="s">
        <v>2915</v>
      </c>
      <c r="P17" s="79" t="s">
        <v>2916</v>
      </c>
      <c r="Q17" s="79" t="s">
        <v>3016</v>
      </c>
      <c r="R17" s="79" t="s">
        <v>3139</v>
      </c>
      <c r="S17" s="79" t="s">
        <v>5705</v>
      </c>
      <c r="T17" s="79" t="s">
        <v>3924</v>
      </c>
      <c r="U17" s="79" t="s">
        <v>2834</v>
      </c>
      <c r="V17" s="79" t="s">
        <v>3093</v>
      </c>
    </row>
    <row r="18" spans="1:22">
      <c r="A18">
        <v>6</v>
      </c>
      <c r="B18" t="s">
        <v>3110</v>
      </c>
      <c r="D18" s="32" t="s">
        <v>182</v>
      </c>
      <c r="E18" s="32" t="s">
        <v>874</v>
      </c>
      <c r="F18" s="32" t="s">
        <v>695</v>
      </c>
      <c r="G18" s="32" t="s">
        <v>698</v>
      </c>
      <c r="H18" s="28" t="s">
        <v>1557</v>
      </c>
      <c r="I18" s="32" t="s">
        <v>3800</v>
      </c>
      <c r="J18" s="32" t="s">
        <v>3453</v>
      </c>
      <c r="K18" s="32" t="s">
        <v>3623</v>
      </c>
      <c r="L18" s="32" t="s">
        <v>3625</v>
      </c>
      <c r="M18" s="32" t="s">
        <v>3155</v>
      </c>
      <c r="N18" s="75" t="s">
        <v>3638</v>
      </c>
      <c r="O18" s="32" t="s">
        <v>3934</v>
      </c>
      <c r="P18" s="32" t="s">
        <v>3637</v>
      </c>
      <c r="Q18" s="32" t="s">
        <v>3937</v>
      </c>
      <c r="R18" s="32" t="s">
        <v>3935</v>
      </c>
      <c r="S18" s="32" t="s">
        <v>3936</v>
      </c>
      <c r="T18" s="32" t="s">
        <v>3317</v>
      </c>
      <c r="U18" s="32" t="s">
        <v>3774</v>
      </c>
      <c r="V18" s="32" t="s">
        <v>3155</v>
      </c>
    </row>
    <row r="19" spans="1:22" s="510" customFormat="1">
      <c r="A19" s="510">
        <v>7</v>
      </c>
      <c r="B19" s="510" t="s">
        <v>4775</v>
      </c>
      <c r="D19" s="510" t="s">
        <v>5074</v>
      </c>
      <c r="E19" s="510" t="s">
        <v>5075</v>
      </c>
      <c r="F19" s="510" t="s">
        <v>5076</v>
      </c>
      <c r="G19" s="510" t="s">
        <v>5096</v>
      </c>
      <c r="H19" s="510" t="s">
        <v>5097</v>
      </c>
      <c r="I19" s="510" t="s">
        <v>5098</v>
      </c>
      <c r="J19" s="510" t="s">
        <v>5099</v>
      </c>
      <c r="K19" s="510" t="s">
        <v>5100</v>
      </c>
      <c r="L19" s="510" t="s">
        <v>5101</v>
      </c>
      <c r="M19" s="510" t="s">
        <v>5102</v>
      </c>
      <c r="N19" s="523" t="s">
        <v>5706</v>
      </c>
      <c r="O19" s="510" t="s">
        <v>5707</v>
      </c>
      <c r="P19" s="510" t="s">
        <v>5708</v>
      </c>
      <c r="Q19" s="510" t="s">
        <v>5709</v>
      </c>
      <c r="R19" s="510" t="s">
        <v>5710</v>
      </c>
      <c r="S19" s="510" t="s">
        <v>5711</v>
      </c>
      <c r="T19" s="510" t="s">
        <v>5712</v>
      </c>
      <c r="U19" s="510" t="s">
        <v>5713</v>
      </c>
      <c r="V19" s="510" t="s">
        <v>5095</v>
      </c>
    </row>
    <row r="21" spans="1:22" s="145" customFormat="1">
      <c r="B21" s="145" t="s">
        <v>3190</v>
      </c>
      <c r="D21" s="145" t="str">
        <f>LOOKUP($A$1,'Lang Drops'!$A$3:$A$9,'Lang Drops'!D23:D29)</f>
        <v>exotic core (eg honeycomb)</v>
      </c>
      <c r="E21" s="145" t="str">
        <f>LOOKUP($A$1,'Lang Drops'!$A$3:$A$9,'Lang Drops'!E23:E29)</f>
        <v>carbon foam sandwich</v>
      </c>
      <c r="F21" s="145" t="str">
        <f>LOOKUP($A$1,'Lang Drops'!$A$3:$A$9,'Lang Drops'!F23:F29)</f>
        <v>kevlar foam sandwich</v>
      </c>
      <c r="G21" s="145" t="str">
        <f>LOOKUP($A$1,'Lang Drops'!$A$3:$A$9,'Lang Drops'!G23:G29)</f>
        <v>glass foam sandwich</v>
      </c>
      <c r="H21" s="145" t="str">
        <f>LOOKUP($A$1,'Lang Drops'!$A$3:$A$9,'Lang Drops'!H23:H29)</f>
        <v>solid glass</v>
      </c>
      <c r="I21" s="145" t="str">
        <f>LOOKUP($A$1,'Lang Drops'!$A$3:$A$9,'Lang Drops'!I23:I29)</f>
        <v>aluminium</v>
      </c>
      <c r="J21" s="145" t="str">
        <f>LOOKUP($A$1,'Lang Drops'!$A$3:$A$9,'Lang Drops'!J23:J29)</f>
        <v>moulded wood</v>
      </c>
      <c r="K21" s="145" t="str">
        <f>LOOKUP($A$1,'Lang Drops'!$A$3:$A$9,'Lang Drops'!K23:K29)</f>
        <v>ply</v>
      </c>
      <c r="L21" s="145" t="str">
        <f>LOOKUP($A$1,'Lang Drops'!$A$3:$A$9,'Lang Drops'!L23:L29)</f>
        <v>heavy classic wood</v>
      </c>
      <c r="M21" s="145" t="str">
        <f>LOOKUP($A$1,'Lang Drops'!$A$3:$A$9,'Lang Drops'!M23:M29)</f>
        <v>steel</v>
      </c>
      <c r="N21" s="145" t="str">
        <f>LOOKUP($A$1,'Lang Drops'!$A$3:$A$9,'Lang Drops'!N23:N29)</f>
        <v>concrete</v>
      </c>
      <c r="O21" s="145" t="str">
        <f>LOOKUP($A$1,'Lang Drops'!$A$3:$A$9,'Lang Drops'!O23:O29)</f>
        <v>Other or various (give full details)</v>
      </c>
    </row>
    <row r="22" spans="1:22">
      <c r="D22" s="20"/>
    </row>
    <row r="23" spans="1:22">
      <c r="A23">
        <v>1</v>
      </c>
      <c r="B23" t="s">
        <v>3191</v>
      </c>
      <c r="D23" s="40" t="s">
        <v>5667</v>
      </c>
      <c r="E23" s="32" t="s">
        <v>5668</v>
      </c>
      <c r="F23" s="32" t="s">
        <v>5669</v>
      </c>
      <c r="G23" s="32" t="s">
        <v>5670</v>
      </c>
      <c r="H23" s="32" t="s">
        <v>3778</v>
      </c>
      <c r="I23" s="32" t="s">
        <v>3780</v>
      </c>
      <c r="J23" s="32" t="s">
        <v>3784</v>
      </c>
      <c r="K23" s="32" t="s">
        <v>3787</v>
      </c>
      <c r="L23" s="40" t="s">
        <v>5714</v>
      </c>
      <c r="M23" s="32" t="s">
        <v>3790</v>
      </c>
      <c r="N23" s="75" t="s">
        <v>3792</v>
      </c>
      <c r="O23" s="502" t="s">
        <v>5671</v>
      </c>
    </row>
    <row r="24" spans="1:22">
      <c r="A24">
        <v>2</v>
      </c>
      <c r="B24" t="s">
        <v>3192</v>
      </c>
      <c r="D24" s="296" t="s">
        <v>5672</v>
      </c>
      <c r="E24" s="61" t="s">
        <v>5673</v>
      </c>
      <c r="F24" s="61" t="s">
        <v>5674</v>
      </c>
      <c r="G24" t="s">
        <v>5675</v>
      </c>
      <c r="H24" s="61" t="s">
        <v>2</v>
      </c>
      <c r="I24" s="61" t="s">
        <v>3780</v>
      </c>
      <c r="J24" s="61" t="s">
        <v>3</v>
      </c>
      <c r="K24" s="61" t="s">
        <v>4</v>
      </c>
      <c r="L24" s="296" t="s">
        <v>3332</v>
      </c>
      <c r="M24" s="75" t="s">
        <v>5</v>
      </c>
      <c r="N24" s="61" t="s">
        <v>6</v>
      </c>
      <c r="O24" s="307" t="s">
        <v>5676</v>
      </c>
    </row>
    <row r="25" spans="1:22">
      <c r="A25">
        <v>3</v>
      </c>
      <c r="B25" t="s">
        <v>3193</v>
      </c>
      <c r="D25" s="297" t="s">
        <v>5677</v>
      </c>
      <c r="E25" s="79" t="s">
        <v>5678</v>
      </c>
      <c r="F25" s="79" t="s">
        <v>5679</v>
      </c>
      <c r="G25" s="79" t="s">
        <v>5680</v>
      </c>
      <c r="H25" s="79" t="s">
        <v>2744</v>
      </c>
      <c r="I25" s="79" t="s">
        <v>2745</v>
      </c>
      <c r="J25" s="79" t="s">
        <v>2746</v>
      </c>
      <c r="K25" s="79" t="s">
        <v>2747</v>
      </c>
      <c r="L25" s="79" t="s">
        <v>2748</v>
      </c>
      <c r="M25" s="79" t="s">
        <v>2749</v>
      </c>
      <c r="N25" s="541" t="s">
        <v>3137</v>
      </c>
      <c r="O25" s="53" t="s">
        <v>5681</v>
      </c>
    </row>
    <row r="26" spans="1:22">
      <c r="A26">
        <v>4</v>
      </c>
      <c r="B26" t="s">
        <v>3194</v>
      </c>
    </row>
    <row r="27" spans="1:22">
      <c r="A27">
        <v>5</v>
      </c>
      <c r="B27" t="s">
        <v>3195</v>
      </c>
      <c r="D27" s="297" t="s">
        <v>5682</v>
      </c>
      <c r="E27" s="79" t="s">
        <v>5683</v>
      </c>
      <c r="F27" s="79" t="s">
        <v>5684</v>
      </c>
      <c r="G27" s="79" t="s">
        <v>5685</v>
      </c>
      <c r="H27" s="79" t="s">
        <v>2835</v>
      </c>
      <c r="I27" s="79" t="s">
        <v>3133</v>
      </c>
      <c r="J27" s="79" t="s">
        <v>3134</v>
      </c>
      <c r="K27" s="79" t="s">
        <v>3135</v>
      </c>
      <c r="L27" s="297" t="s">
        <v>3099</v>
      </c>
      <c r="M27" s="79" t="s">
        <v>3136</v>
      </c>
      <c r="N27" s="541" t="s">
        <v>3137</v>
      </c>
      <c r="O27" s="501" t="s">
        <v>5686</v>
      </c>
    </row>
    <row r="28" spans="1:22">
      <c r="A28">
        <v>6</v>
      </c>
      <c r="B28" t="s">
        <v>3110</v>
      </c>
      <c r="D28" s="40" t="s">
        <v>5687</v>
      </c>
      <c r="E28" s="32" t="s">
        <v>5668</v>
      </c>
      <c r="F28" s="32" t="s">
        <v>5669</v>
      </c>
      <c r="G28" s="32" t="s">
        <v>5670</v>
      </c>
      <c r="H28" s="32" t="s">
        <v>3778</v>
      </c>
      <c r="I28" s="32" t="s">
        <v>3780</v>
      </c>
      <c r="J28" s="32" t="s">
        <v>3784</v>
      </c>
      <c r="K28" s="32" t="s">
        <v>3787</v>
      </c>
      <c r="L28" s="40" t="s">
        <v>5714</v>
      </c>
      <c r="M28" s="32" t="s">
        <v>3790</v>
      </c>
      <c r="N28" s="75" t="s">
        <v>3792</v>
      </c>
      <c r="O28" s="502" t="s">
        <v>5671</v>
      </c>
    </row>
    <row r="29" spans="1:22" s="510" customFormat="1">
      <c r="A29" s="510">
        <v>7</v>
      </c>
      <c r="B29" s="510" t="s">
        <v>4775</v>
      </c>
      <c r="D29" s="513" t="s">
        <v>5688</v>
      </c>
      <c r="E29" s="513" t="s">
        <v>5689</v>
      </c>
      <c r="F29" s="513" t="s">
        <v>5690</v>
      </c>
      <c r="G29" s="513" t="s">
        <v>5691</v>
      </c>
      <c r="H29" s="513" t="s">
        <v>5103</v>
      </c>
      <c r="I29" s="513" t="s">
        <v>5104</v>
      </c>
      <c r="J29" s="513" t="s">
        <v>5715</v>
      </c>
      <c r="K29" s="513" t="s">
        <v>5083</v>
      </c>
      <c r="L29" s="513" t="s">
        <v>5716</v>
      </c>
      <c r="M29" s="513" t="s">
        <v>5105</v>
      </c>
      <c r="N29" s="542" t="s">
        <v>5106</v>
      </c>
      <c r="O29" s="513" t="s">
        <v>5692</v>
      </c>
    </row>
    <row r="31" spans="1:22" s="145" customFormat="1">
      <c r="B31" s="145" t="s">
        <v>3190</v>
      </c>
      <c r="D31" s="145" t="str">
        <f>LOOKUP($A$1,'Lang Drops'!$A$3:$A$9,'Lang Drops'!D33:D39)</f>
        <v>empty interior</v>
      </c>
      <c r="E31" s="145" t="str">
        <f>LOOKUP($A$1,'Lang Drops'!$A$3:$A$9,'Lang Drops'!E33:E39)</f>
        <v>spartan interior, minimal equipment</v>
      </c>
      <c r="F31" s="145" t="str">
        <f>LOOKUP($A$1,'Lang Drops'!$A$3:$A$9,'Lang Drops'!F33:F39)</f>
        <v>central fitout but empty fore/aft</v>
      </c>
      <c r="G31" s="145" t="str">
        <f>LOOKUP($A$1,'Lang Drops'!$A$3:$A$9,'Lang Drops'!G33:G39)</f>
        <v>full fitout including fore/aft berths</v>
      </c>
      <c r="H31" s="573" t="str">
        <f>LOOKUP($A$1,'Lang Drops'!$A$3:$A$9,'Lang Drops'!H33:H39)</f>
        <v>heavy cruising fitout with many extras</v>
      </c>
      <c r="I31" s="145" t="str">
        <f>LOOKUP($A$1,'Lang Drops'!$A$3:$A$9,'Lang Drops'!I33:I39)</f>
        <v>other (please specify)</v>
      </c>
      <c r="J31" s="145">
        <f>LOOKUP($A$1,'Lang Drops'!$A$3:$A$9,'Lang Drops'!J33:J39)</f>
        <v>0</v>
      </c>
      <c r="K31" s="145">
        <f>LOOKUP($A$1,'Lang Drops'!$A$3:$A$9,'Lang Drops'!K33:K39)</f>
        <v>0</v>
      </c>
      <c r="L31" s="145" t="str">
        <f>LOOKUP($A$1,'Lang Drops'!$A$3:$A$9,'Lang Drops'!L33:L39)</f>
        <v>none</v>
      </c>
      <c r="M31" s="145" t="str">
        <f>LOOKUP($A$1,'Lang Drops'!$A$3:$A$9,'Lang Drops'!M33:M39)</f>
        <v>Twin lateral retractable</v>
      </c>
      <c r="N31" s="145" t="str">
        <f>LOOKUP($A$1,'Lang Drops'!$A$3:$A$9,'Lang Drops'!N33:N39)</f>
        <v>Forward, gybing (non-controllable)</v>
      </c>
      <c r="O31" s="145" t="str">
        <f>LOOKUP($A$1,'Lang Drops'!$A$3:$A$9,'Lang Drops'!O33:O39)</f>
        <v>on keel</v>
      </c>
      <c r="P31" s="145" t="str">
        <f>LOOKUP($A$1,'Lang Drops'!$A$3:$A$9,'Lang Drops'!P33:P39)</f>
        <v>on canard</v>
      </c>
      <c r="Q31" s="145" t="str">
        <f>LOOKUP($A$1,'Lang Drops'!$A$3:$A$9,'Lang Drops'!Q33:Q39)</f>
        <v>forward rudder (controllable)</v>
      </c>
      <c r="R31" s="145" t="str">
        <f>LOOKUP($A$1,'Lang Drops'!$A$3:$A$9,'Lang Drops'!R33:R39)</f>
        <v>canard</v>
      </c>
      <c r="S31" s="145" t="str">
        <f>LOOKUP($A$1,'Lang Drops'!$A$3:$A$9,'Lang Drops'!S33:S39)</f>
        <v>canard with trim tab</v>
      </c>
    </row>
    <row r="32" spans="1:22">
      <c r="D32" s="20"/>
      <c r="H32" s="63"/>
    </row>
    <row r="33" spans="1:20">
      <c r="A33">
        <v>1</v>
      </c>
      <c r="B33" t="s">
        <v>3191</v>
      </c>
      <c r="D33" s="40" t="s">
        <v>4272</v>
      </c>
      <c r="E33" s="40" t="s">
        <v>4273</v>
      </c>
      <c r="F33" s="40" t="s">
        <v>4274</v>
      </c>
      <c r="G33" s="40" t="s">
        <v>4275</v>
      </c>
      <c r="H33" s="585" t="s">
        <v>4276</v>
      </c>
      <c r="I33" s="32" t="s">
        <v>3155</v>
      </c>
      <c r="J33" s="32"/>
      <c r="L33" s="32" t="s">
        <v>3939</v>
      </c>
      <c r="M33" s="32" t="s">
        <v>3938</v>
      </c>
      <c r="N33" s="75" t="s">
        <v>3187</v>
      </c>
      <c r="O33" s="32" t="s">
        <v>3940</v>
      </c>
      <c r="P33" s="32" t="s">
        <v>3188</v>
      </c>
      <c r="Q33" s="32" t="s">
        <v>3186</v>
      </c>
      <c r="R33" s="32" t="s">
        <v>677</v>
      </c>
      <c r="S33" s="32" t="s">
        <v>3943</v>
      </c>
    </row>
    <row r="34" spans="1:20">
      <c r="A34">
        <v>2</v>
      </c>
      <c r="B34" t="s">
        <v>3192</v>
      </c>
      <c r="D34" t="s">
        <v>4281</v>
      </c>
      <c r="E34" t="s">
        <v>4277</v>
      </c>
      <c r="F34" t="s">
        <v>4278</v>
      </c>
      <c r="G34" t="s">
        <v>4279</v>
      </c>
      <c r="H34" s="63" t="s">
        <v>4280</v>
      </c>
      <c r="I34" s="61" t="s">
        <v>1907</v>
      </c>
      <c r="J34" s="340"/>
      <c r="L34" s="61" t="s">
        <v>3322</v>
      </c>
      <c r="M34" s="61" t="s">
        <v>3325</v>
      </c>
      <c r="N34" s="61" t="s">
        <v>3326</v>
      </c>
      <c r="O34" s="61" t="s">
        <v>3747</v>
      </c>
      <c r="P34" s="61" t="s">
        <v>3323</v>
      </c>
      <c r="Q34" s="61" t="s">
        <v>3327</v>
      </c>
      <c r="R34" s="61" t="s">
        <v>677</v>
      </c>
      <c r="S34" s="61" t="s">
        <v>3324</v>
      </c>
    </row>
    <row r="35" spans="1:20">
      <c r="A35">
        <v>3</v>
      </c>
      <c r="B35" t="s">
        <v>3193</v>
      </c>
      <c r="D35" t="s">
        <v>4287</v>
      </c>
      <c r="E35" t="s">
        <v>4288</v>
      </c>
      <c r="F35" t="s">
        <v>4289</v>
      </c>
      <c r="G35" t="s">
        <v>4290</v>
      </c>
      <c r="H35" s="63" t="s">
        <v>4291</v>
      </c>
      <c r="I35" s="79" t="s">
        <v>3474</v>
      </c>
      <c r="J35" s="341"/>
      <c r="L35" s="79" t="s">
        <v>4049</v>
      </c>
      <c r="M35" s="79" t="s">
        <v>4050</v>
      </c>
      <c r="N35" s="541" t="s">
        <v>4051</v>
      </c>
      <c r="O35" s="79" t="s">
        <v>2743</v>
      </c>
      <c r="P35" s="79" t="s">
        <v>3217</v>
      </c>
      <c r="Q35" s="79" t="s">
        <v>3218</v>
      </c>
      <c r="R35" s="79" t="s">
        <v>677</v>
      </c>
      <c r="S35" s="79" t="s">
        <v>3219</v>
      </c>
    </row>
    <row r="36" spans="1:20">
      <c r="A36">
        <v>4</v>
      </c>
      <c r="B36" t="s">
        <v>3194</v>
      </c>
      <c r="D36" s="307"/>
      <c r="E36" s="307"/>
      <c r="F36" s="307"/>
      <c r="G36" s="307"/>
      <c r="H36" s="575"/>
      <c r="J36" s="307"/>
    </row>
    <row r="37" spans="1:20" ht="13.3">
      <c r="A37">
        <v>5</v>
      </c>
      <c r="B37" t="s">
        <v>3195</v>
      </c>
      <c r="D37" t="s">
        <v>4282</v>
      </c>
      <c r="E37" t="s">
        <v>4283</v>
      </c>
      <c r="F37" s="344" t="s">
        <v>4284</v>
      </c>
      <c r="G37" s="297" t="s">
        <v>4285</v>
      </c>
      <c r="H37" s="608" t="s">
        <v>4286</v>
      </c>
      <c r="I37" s="79" t="s">
        <v>3093</v>
      </c>
      <c r="J37" s="341"/>
      <c r="L37" s="79" t="s">
        <v>3252</v>
      </c>
      <c r="M37" s="79" t="s">
        <v>3253</v>
      </c>
      <c r="N37" s="541" t="s">
        <v>3254</v>
      </c>
      <c r="O37" s="79" t="s">
        <v>2834</v>
      </c>
      <c r="P37" s="79" t="s">
        <v>3255</v>
      </c>
      <c r="Q37" s="79" t="s">
        <v>2133</v>
      </c>
      <c r="R37" s="79" t="s">
        <v>677</v>
      </c>
      <c r="S37" s="79" t="s">
        <v>3256</v>
      </c>
    </row>
    <row r="38" spans="1:20">
      <c r="A38">
        <v>6</v>
      </c>
      <c r="B38" t="s">
        <v>3110</v>
      </c>
      <c r="D38" s="40" t="s">
        <v>4272</v>
      </c>
      <c r="E38" s="40" t="s">
        <v>4273</v>
      </c>
      <c r="F38" s="40" t="s">
        <v>4274</v>
      </c>
      <c r="G38" s="40" t="s">
        <v>4275</v>
      </c>
      <c r="H38" s="585" t="s">
        <v>4276</v>
      </c>
      <c r="I38" s="32" t="s">
        <v>3155</v>
      </c>
      <c r="J38" s="342"/>
      <c r="L38" s="32" t="s">
        <v>3939</v>
      </c>
      <c r="M38" s="32" t="s">
        <v>3938</v>
      </c>
      <c r="N38" s="75" t="s">
        <v>3187</v>
      </c>
      <c r="O38" s="32" t="s">
        <v>3940</v>
      </c>
      <c r="P38" s="32" t="s">
        <v>3188</v>
      </c>
      <c r="Q38" s="32" t="s">
        <v>3186</v>
      </c>
      <c r="R38" s="32" t="s">
        <v>677</v>
      </c>
      <c r="S38" s="32" t="s">
        <v>3943</v>
      </c>
    </row>
    <row r="39" spans="1:20" s="510" customFormat="1">
      <c r="A39" s="510">
        <v>7</v>
      </c>
      <c r="B39" s="510" t="s">
        <v>4775</v>
      </c>
      <c r="D39" s="513" t="s">
        <v>5077</v>
      </c>
      <c r="E39" s="513" t="s">
        <v>5078</v>
      </c>
      <c r="F39" s="513" t="s">
        <v>5079</v>
      </c>
      <c r="G39" s="513" t="s">
        <v>5080</v>
      </c>
      <c r="H39" s="590" t="s">
        <v>5081</v>
      </c>
      <c r="I39" s="513" t="s">
        <v>5082</v>
      </c>
      <c r="J39" s="513"/>
      <c r="K39" s="513"/>
      <c r="L39" s="513" t="s">
        <v>5107</v>
      </c>
      <c r="M39" s="513" t="s">
        <v>5108</v>
      </c>
      <c r="N39" s="542" t="s">
        <v>5109</v>
      </c>
      <c r="O39" s="513" t="s">
        <v>5110</v>
      </c>
      <c r="P39" s="513" t="s">
        <v>5111</v>
      </c>
      <c r="Q39" s="513" t="s">
        <v>5112</v>
      </c>
      <c r="R39" s="513" t="s">
        <v>677</v>
      </c>
      <c r="S39" s="513" t="s">
        <v>5113</v>
      </c>
    </row>
    <row r="41" spans="1:20" s="145" customFormat="1">
      <c r="B41" s="145" t="s">
        <v>3190</v>
      </c>
      <c r="D41" s="573" t="str">
        <f>LOOKUP($A$1,'Lang Drops'!$A$3:$A$9,'Lang Drops'!D43:D49)</f>
        <v>masthead</v>
      </c>
      <c r="E41" s="573" t="str">
        <f>LOOKUP($A$1,'Lang Drops'!$A$3:$A$9,'Lang Drops'!E43:E49)</f>
        <v>fractional</v>
      </c>
      <c r="F41" s="145" t="str">
        <f>LOOKUP($A$1,'Lang Drops'!$A$3:$A$9,'Lang Drops'!F43:F49)</f>
        <v>no spinnaker pole or bowsprit (スピンタックをデッキ上にとること可)</v>
      </c>
      <c r="G41" s="145" t="str">
        <f>LOOKUP($A$1,'Lang Drops'!$A$3:$A$9,'Lang Drops'!G43:G49)</f>
        <v>centreline bowsprit only</v>
      </c>
      <c r="H41" s="145" t="str">
        <f>LOOKUP($A$1,'Lang Drops'!$A$3:$A$9,'Lang Drops'!H43:H49)</f>
        <v>spinnaker pole(s), NO bowsprit</v>
      </c>
      <c r="I41" s="145" t="str">
        <f>LOOKUP($A$1,'Lang Drops'!$A$3:$A$9,'Lang Drops'!I43:I49)</f>
        <v>spinnaker pole(s) AND bowsprit</v>
      </c>
      <c r="J41" s="145" t="str">
        <f>LOOKUP($A$1,'Lang Drops'!$A$3:$A$9,'Lang Drops'!J43:J49)</f>
        <v>ヘッドセイルもしくはフライングヘッドセイルを、風下に展開するためにポールを使いますか？</v>
      </c>
      <c r="K41" s="145" t="str">
        <f>LOOKUP($A$1,'Lang Drops'!$A$3:$A$9,'Lang Drops'!K43:K49)</f>
        <v>articulating bowsprit</v>
      </c>
      <c r="L41" s="145" t="str">
        <f>LOOKUP($A$1,'Lang Drops'!$A$3:$A$9,'Lang Drops'!L43:L49)</f>
        <v>aluminium/alloy</v>
      </c>
      <c r="M41" s="145" t="str">
        <f>LOOKUP($A$1,'Lang Drops'!$A$3:$A$9,'Lang Drops'!M43:M49)</f>
        <v>carbon</v>
      </c>
      <c r="N41" s="145" t="str">
        <f>LOOKUP($A$1,'Lang Drops'!$A$3:$A$9,'Lang Drops'!N43:N49)</f>
        <v>wood</v>
      </c>
      <c r="O41" s="145" t="str">
        <f>LOOKUP($A$1,'Lang Drops'!$A$3:$A$9,'Lang Drops'!O43:O49)</f>
        <v>other (please specify)</v>
      </c>
      <c r="P41" s="145" t="str">
        <f>LOOKUP($A$1,'Lang Drops'!$A$3:$A$9,'Lang Drops'!P43:P49)</f>
        <v>less than 5 degrees</v>
      </c>
      <c r="Q41" s="145" t="str">
        <f>LOOKUP($A$1,'Lang Drops'!$A$3:$A$9,'Lang Drops'!Q43:Q49)</f>
        <v>more than 5 degrees</v>
      </c>
      <c r="R41" s="145">
        <f>LOOKUP($A$1,'Lang Drops'!$A$3:$A$9,'Lang Drops'!R43:R49)</f>
        <v>0</v>
      </c>
    </row>
    <row r="42" spans="1:20">
      <c r="D42" s="63"/>
      <c r="E42" s="63"/>
      <c r="J42" s="489"/>
    </row>
    <row r="43" spans="1:20">
      <c r="A43">
        <v>1</v>
      </c>
      <c r="B43" t="s">
        <v>3191</v>
      </c>
      <c r="D43" s="585" t="s">
        <v>363</v>
      </c>
      <c r="E43" s="585" t="s">
        <v>365</v>
      </c>
      <c r="F43" s="544" t="s">
        <v>5252</v>
      </c>
      <c r="G43" s="30" t="s">
        <v>372</v>
      </c>
      <c r="H43" s="30" t="s">
        <v>5202</v>
      </c>
      <c r="I43" s="30" t="s">
        <v>5200</v>
      </c>
      <c r="J43" s="53" t="s">
        <v>5372</v>
      </c>
      <c r="K43" s="32" t="s">
        <v>375</v>
      </c>
      <c r="L43" s="32" t="s">
        <v>376</v>
      </c>
      <c r="M43" s="32" t="s">
        <v>3627</v>
      </c>
      <c r="N43" s="75" t="s">
        <v>380</v>
      </c>
      <c r="O43" s="32" t="s">
        <v>3155</v>
      </c>
      <c r="P43" s="61" t="s">
        <v>3492</v>
      </c>
      <c r="Q43" s="61" t="s">
        <v>3493</v>
      </c>
      <c r="S43" s="32"/>
      <c r="T43" s="32"/>
    </row>
    <row r="44" spans="1:20">
      <c r="A44">
        <v>2</v>
      </c>
      <c r="B44" t="s">
        <v>3192</v>
      </c>
      <c r="D44" s="31" t="s">
        <v>1015</v>
      </c>
      <c r="E44" s="586" t="s">
        <v>3328</v>
      </c>
      <c r="F44" s="53" t="s">
        <v>5251</v>
      </c>
      <c r="G44" s="53" t="s">
        <v>3329</v>
      </c>
      <c r="H44" s="492" t="s">
        <v>5203</v>
      </c>
      <c r="I44" s="492" t="s">
        <v>5206</v>
      </c>
      <c r="J44" t="s">
        <v>5373</v>
      </c>
      <c r="K44" s="61" t="s">
        <v>3330</v>
      </c>
      <c r="L44" s="61" t="s">
        <v>3780</v>
      </c>
      <c r="M44" s="61" t="s">
        <v>3331</v>
      </c>
      <c r="N44" s="61" t="s">
        <v>3332</v>
      </c>
      <c r="O44" s="61" t="s">
        <v>1907</v>
      </c>
      <c r="P44" s="61" t="s">
        <v>3333</v>
      </c>
      <c r="Q44" s="61" t="s">
        <v>3489</v>
      </c>
    </row>
    <row r="45" spans="1:20">
      <c r="A45">
        <v>3</v>
      </c>
      <c r="B45" t="s">
        <v>3193</v>
      </c>
      <c r="D45" s="587" t="s">
        <v>3220</v>
      </c>
      <c r="E45" s="587" t="s">
        <v>3221</v>
      </c>
      <c r="F45" s="53" t="s">
        <v>5253</v>
      </c>
      <c r="G45" s="297" t="s">
        <v>201</v>
      </c>
      <c r="H45" s="493" t="s">
        <v>5204</v>
      </c>
      <c r="I45" s="493" t="s">
        <v>5207</v>
      </c>
      <c r="J45" t="s">
        <v>5374</v>
      </c>
      <c r="K45" s="79" t="s">
        <v>1527</v>
      </c>
      <c r="L45" s="79" t="s">
        <v>2745</v>
      </c>
      <c r="M45" s="79" t="s">
        <v>1528</v>
      </c>
      <c r="N45" s="541" t="s">
        <v>1529</v>
      </c>
      <c r="O45" s="79" t="s">
        <v>3474</v>
      </c>
      <c r="P45" s="79" t="s">
        <v>1530</v>
      </c>
      <c r="Q45" s="79" t="s">
        <v>3490</v>
      </c>
    </row>
    <row r="46" spans="1:20">
      <c r="A46">
        <v>4</v>
      </c>
      <c r="B46" t="s">
        <v>3194</v>
      </c>
      <c r="D46" s="63"/>
      <c r="E46" s="63"/>
      <c r="F46" s="53"/>
      <c r="G46" s="53"/>
      <c r="H46" s="53"/>
      <c r="I46" s="53"/>
    </row>
    <row r="47" spans="1:20">
      <c r="A47">
        <v>5</v>
      </c>
      <c r="B47" t="s">
        <v>3195</v>
      </c>
      <c r="D47" s="588" t="s">
        <v>3257</v>
      </c>
      <c r="E47" s="587" t="s">
        <v>3258</v>
      </c>
      <c r="F47" s="494" t="s">
        <v>5254</v>
      </c>
      <c r="G47" s="297" t="s">
        <v>3096</v>
      </c>
      <c r="H47" s="297" t="s">
        <v>5250</v>
      </c>
      <c r="I47" s="297" t="s">
        <v>5208</v>
      </c>
      <c r="J47" t="s">
        <v>5375</v>
      </c>
      <c r="K47" s="79" t="s">
        <v>3097</v>
      </c>
      <c r="L47" s="79" t="s">
        <v>3133</v>
      </c>
      <c r="M47" s="79" t="s">
        <v>3098</v>
      </c>
      <c r="N47" s="541" t="s">
        <v>3099</v>
      </c>
      <c r="O47" s="175" t="s">
        <v>2913</v>
      </c>
      <c r="P47" s="79" t="s">
        <v>3100</v>
      </c>
      <c r="Q47" s="79" t="s">
        <v>3491</v>
      </c>
    </row>
    <row r="48" spans="1:20">
      <c r="A48">
        <v>6</v>
      </c>
      <c r="B48" t="s">
        <v>3110</v>
      </c>
      <c r="D48" s="585" t="s">
        <v>363</v>
      </c>
      <c r="E48" s="585" t="s">
        <v>365</v>
      </c>
      <c r="F48" s="494" t="s">
        <v>5199</v>
      </c>
      <c r="G48" s="30" t="s">
        <v>372</v>
      </c>
      <c r="H48" s="30" t="s">
        <v>5202</v>
      </c>
      <c r="I48" s="30" t="s">
        <v>5200</v>
      </c>
      <c r="J48" t="s">
        <v>5376</v>
      </c>
      <c r="K48" s="32" t="s">
        <v>375</v>
      </c>
      <c r="L48" s="32" t="s">
        <v>376</v>
      </c>
      <c r="M48" s="32" t="s">
        <v>3627</v>
      </c>
      <c r="N48" s="75" t="s">
        <v>380</v>
      </c>
      <c r="O48" s="32" t="s">
        <v>3155</v>
      </c>
      <c r="P48" s="32" t="s">
        <v>1455</v>
      </c>
      <c r="Q48" s="32" t="s">
        <v>3488</v>
      </c>
      <c r="S48" s="32"/>
    </row>
    <row r="49" spans="1:26" s="510" customFormat="1">
      <c r="A49" s="510">
        <v>7</v>
      </c>
      <c r="B49" s="510" t="s">
        <v>4775</v>
      </c>
      <c r="D49" s="589" t="s">
        <v>5114</v>
      </c>
      <c r="E49" s="590" t="s">
        <v>5115</v>
      </c>
      <c r="F49" s="513" t="s">
        <v>5255</v>
      </c>
      <c r="G49" s="513" t="s">
        <v>5116</v>
      </c>
      <c r="H49" s="513" t="s">
        <v>5205</v>
      </c>
      <c r="I49" s="513" t="s">
        <v>5201</v>
      </c>
      <c r="J49" s="53" t="s">
        <v>5372</v>
      </c>
      <c r="K49" s="513" t="s">
        <v>5117</v>
      </c>
      <c r="L49" s="513" t="s">
        <v>5104</v>
      </c>
      <c r="M49" s="513" t="s">
        <v>3098</v>
      </c>
      <c r="N49" s="542" t="s">
        <v>5118</v>
      </c>
      <c r="O49" s="513" t="s">
        <v>5119</v>
      </c>
      <c r="P49" s="513" t="s">
        <v>5120</v>
      </c>
      <c r="Q49" s="513" t="s">
        <v>5121</v>
      </c>
      <c r="R49" s="513"/>
    </row>
    <row r="50" spans="1:26">
      <c r="D50" s="32"/>
      <c r="M50" s="53" t="s">
        <v>3098</v>
      </c>
      <c r="N50" s="296" t="s">
        <v>5118</v>
      </c>
      <c r="O50" s="53" t="s">
        <v>5119</v>
      </c>
    </row>
    <row r="51" spans="1:26" s="145" customFormat="1">
      <c r="B51" s="145" t="s">
        <v>3190</v>
      </c>
      <c r="D51" s="145" t="str">
        <f>LOOKUP($A$1,'Lang Drops'!$A$3:$A$9,'Lang Drops'!D53:D59)</f>
        <v>no engine</v>
      </c>
      <c r="E51" s="145" t="str">
        <f>LOOKUP($A$1,'Lang Drops'!$A$3:$A$9,'Lang Drops'!E53:E59)</f>
        <v>outboard</v>
      </c>
      <c r="F51" s="145" t="str">
        <f>LOOKUP($A$1,'Lang Drops'!$A$3:$A$9,'Lang Drops'!F53:F59)</f>
        <v>inboard</v>
      </c>
      <c r="G51" s="145" t="str">
        <f>LOOKUP($A$1,'Lang Drops'!$A$3:$A$9,'Lang Drops'!G53:G59)</f>
        <v>n/a:outboard engine</v>
      </c>
      <c r="H51" s="145" t="str">
        <f>LOOKUP($A$1,'Lang Drops'!$A$3:$A$9,'Lang Drops'!H53:H59)</f>
        <v>2 folding / feathering blades</v>
      </c>
      <c r="I51" s="145" t="str">
        <f>LOOKUP($A$1,'Lang Drops'!$A$3:$A$9,'Lang Drops'!I53:I59)</f>
        <v>2 fixed blades</v>
      </c>
      <c r="J51" s="145" t="str">
        <f>LOOKUP($A$1,'Lang Drops'!$A$3:$A$9,'Lang Drops'!J53:J59)</f>
        <v>3 fixed blades</v>
      </c>
      <c r="K51" s="145" t="str">
        <f>LOOKUP($A$1,'Lang Drops'!$A$3:$A$9,'Lang Drops'!K53:K59)</f>
        <v>3 feathering blades</v>
      </c>
      <c r="L51" s="145" t="str">
        <f>LOOKUP($A$1,'Lang Drops'!$A$3:$A$9,'Lang Drops'!L53:L59)</f>
        <v>3 folding blades</v>
      </c>
      <c r="M51" s="145" t="str">
        <f>LOOKUP($A$1,'Lang Drops'!$A$3:$A$9,'Lang Drops'!M53:M59)</f>
        <v>4+ folding / feathering blades</v>
      </c>
      <c r="N51" s="145" t="str">
        <f>LOOKUP($A$1,'Lang Drops'!$A$3:$A$9,'Lang Drops'!N53:N59)</f>
        <v>retractable</v>
      </c>
      <c r="O51" s="145">
        <f>LOOKUP($A$1,'Lang Drops'!$A$3:$A$9,'Lang Drops'!O53:O59)</f>
        <v>0</v>
      </c>
      <c r="P51" s="145">
        <f>LOOKUP($A$1,'Lang Drops'!$A$3:$A$9,'Lang Drops'!P53:P59)</f>
        <v>0</v>
      </c>
      <c r="Q51" s="145">
        <f>LOOKUP($A$1,'Lang Drops'!$A$3:$A$9,'Lang Drops'!Q53:Q59)</f>
        <v>0</v>
      </c>
      <c r="R51" s="145" t="str">
        <f>LOOKUP($A$1,'Lang Drops'!$A$3:$A$9,'Lang Drops'!R53:R59)</f>
        <v>bermudian</v>
      </c>
      <c r="S51" s="145" t="str">
        <f>LOOKUP($A$1,'Lang Drops'!$A$3:$A$9,'Lang Drops'!S53:S59)</f>
        <v>gaff</v>
      </c>
      <c r="T51" s="145" t="str">
        <f>LOOKUP($A$1,'Lang Drops'!$A$3:$A$9,'Lang Drops'!T53:T59)</f>
        <v>wishbone</v>
      </c>
      <c r="U51" s="145" t="str">
        <f>LOOKUP($A$1,'Lang Drops'!$A$3:$A$9,'Lang Drops'!U53:U59)</f>
        <v>sloop</v>
      </c>
      <c r="V51" s="145" t="str">
        <f>LOOKUP($A$1,'Lang Drops'!$A$3:$A$9,'Lang Drops'!V53:V59)</f>
        <v>yawl</v>
      </c>
      <c r="W51" s="145" t="str">
        <f>LOOKUP($A$1,'Lang Drops'!$A$3:$A$9,'Lang Drops'!W53:W59)</f>
        <v>ketch</v>
      </c>
      <c r="X51" s="145" t="str">
        <f>LOOKUP($A$1,'Lang Drops'!$A$3:$A$9,'Lang Drops'!X53:X59)</f>
        <v>cutter</v>
      </c>
      <c r="Y51" s="145" t="str">
        <f>LOOKUP($A$1,'Lang Drops'!$A$3:$A$9,'Lang Drops'!Y53:Y59)</f>
        <v>cat</v>
      </c>
      <c r="Z51" s="145" t="str">
        <f>LOOKUP($A$1,'Lang Drops'!$A$3:$A$9,'Lang Drops'!Z53:Z59)</f>
        <v>schooner</v>
      </c>
    </row>
    <row r="52" spans="1:26">
      <c r="D52" s="20"/>
    </row>
    <row r="53" spans="1:26">
      <c r="A53">
        <v>1</v>
      </c>
      <c r="B53" t="s">
        <v>3191</v>
      </c>
      <c r="D53" s="32" t="s">
        <v>158</v>
      </c>
      <c r="E53" s="32" t="s">
        <v>1464</v>
      </c>
      <c r="F53" s="32" t="s">
        <v>1461</v>
      </c>
      <c r="G53" s="32" t="s">
        <v>1549</v>
      </c>
      <c r="H53" s="40" t="s">
        <v>1695</v>
      </c>
      <c r="I53" s="40" t="s">
        <v>1696</v>
      </c>
      <c r="J53" s="40" t="s">
        <v>1697</v>
      </c>
      <c r="K53" s="40" t="s">
        <v>1698</v>
      </c>
      <c r="L53" s="40" t="s">
        <v>1699</v>
      </c>
      <c r="M53" s="40" t="s">
        <v>1700</v>
      </c>
      <c r="N53" s="504" t="s">
        <v>1548</v>
      </c>
      <c r="O53" s="32"/>
      <c r="P53" s="32"/>
      <c r="Q53" s="32"/>
      <c r="R53" s="32" t="s">
        <v>644</v>
      </c>
      <c r="S53" s="32" t="s">
        <v>647</v>
      </c>
      <c r="T53" s="32" t="s">
        <v>2918</v>
      </c>
      <c r="U53" s="32" t="s">
        <v>3225</v>
      </c>
      <c r="V53" s="32" t="s">
        <v>3227</v>
      </c>
      <c r="W53" s="32" t="s">
        <v>3229</v>
      </c>
      <c r="X53" s="32" t="s">
        <v>3230</v>
      </c>
      <c r="Y53" s="32" t="s">
        <v>3233</v>
      </c>
      <c r="Z53" s="32" t="s">
        <v>3231</v>
      </c>
    </row>
    <row r="54" spans="1:26">
      <c r="A54">
        <v>2</v>
      </c>
      <c r="B54" t="s">
        <v>3192</v>
      </c>
      <c r="D54" s="61" t="s">
        <v>3334</v>
      </c>
      <c r="E54" s="61" t="s">
        <v>3335</v>
      </c>
      <c r="F54" s="61" t="s">
        <v>3349</v>
      </c>
      <c r="G54" t="s">
        <v>3350</v>
      </c>
      <c r="H54" s="296" t="s">
        <v>1701</v>
      </c>
      <c r="I54" s="296" t="s">
        <v>1702</v>
      </c>
      <c r="J54" s="296" t="s">
        <v>1703</v>
      </c>
      <c r="K54" s="296" t="s">
        <v>1704</v>
      </c>
      <c r="L54" s="296" t="s">
        <v>1705</v>
      </c>
      <c r="M54" s="296" t="s">
        <v>1711</v>
      </c>
      <c r="N54" s="296" t="s">
        <v>1548</v>
      </c>
      <c r="O54" s="61"/>
      <c r="P54" s="61"/>
      <c r="Q54" s="61"/>
      <c r="R54" s="61" t="s">
        <v>2488</v>
      </c>
      <c r="S54" s="61" t="s">
        <v>2492</v>
      </c>
      <c r="T54" s="61" t="s">
        <v>2918</v>
      </c>
      <c r="U54" s="61" t="s">
        <v>3225</v>
      </c>
      <c r="V54" s="61" t="s">
        <v>3227</v>
      </c>
      <c r="W54" s="61" t="s">
        <v>3229</v>
      </c>
      <c r="X54" s="61" t="s">
        <v>2491</v>
      </c>
      <c r="Y54" s="61" t="s">
        <v>2490</v>
      </c>
      <c r="Z54" s="61" t="s">
        <v>2489</v>
      </c>
    </row>
    <row r="55" spans="1:26">
      <c r="A55">
        <v>3</v>
      </c>
      <c r="B55" t="s">
        <v>3193</v>
      </c>
      <c r="D55" s="79" t="s">
        <v>1531</v>
      </c>
      <c r="E55" s="79" t="s">
        <v>1532</v>
      </c>
      <c r="F55" s="79" t="s">
        <v>1533</v>
      </c>
      <c r="G55" s="79" t="s">
        <v>1534</v>
      </c>
      <c r="H55" s="297" t="s">
        <v>1706</v>
      </c>
      <c r="I55" s="297" t="s">
        <v>1707</v>
      </c>
      <c r="J55" s="297" t="s">
        <v>1708</v>
      </c>
      <c r="K55" s="297" t="s">
        <v>1709</v>
      </c>
      <c r="L55" s="297" t="s">
        <v>1710</v>
      </c>
      <c r="M55" s="297" t="s">
        <v>1712</v>
      </c>
      <c r="N55" s="541" t="s">
        <v>1535</v>
      </c>
      <c r="O55" s="79"/>
      <c r="P55" s="79"/>
      <c r="Q55" s="79"/>
      <c r="R55" s="79" t="s">
        <v>1536</v>
      </c>
      <c r="S55" s="79" t="s">
        <v>1537</v>
      </c>
      <c r="T55" s="79" t="s">
        <v>2918</v>
      </c>
      <c r="U55" s="79" t="s">
        <v>3225</v>
      </c>
      <c r="V55" s="79" t="s">
        <v>3227</v>
      </c>
      <c r="W55" s="79" t="s">
        <v>3229</v>
      </c>
      <c r="X55" s="79" t="s">
        <v>3230</v>
      </c>
      <c r="Y55" s="79" t="s">
        <v>3233</v>
      </c>
      <c r="Z55" s="79" t="s">
        <v>3231</v>
      </c>
    </row>
    <row r="56" spans="1:26">
      <c r="A56">
        <v>4</v>
      </c>
      <c r="B56" t="s">
        <v>3194</v>
      </c>
    </row>
    <row r="57" spans="1:26">
      <c r="A57">
        <v>5</v>
      </c>
      <c r="B57" t="s">
        <v>3195</v>
      </c>
      <c r="D57" s="175" t="s">
        <v>3101</v>
      </c>
      <c r="E57" s="79" t="s">
        <v>3103</v>
      </c>
      <c r="F57" s="79" t="s">
        <v>3102</v>
      </c>
      <c r="G57" s="79" t="s">
        <v>3350</v>
      </c>
      <c r="H57" s="297" t="s">
        <v>1701</v>
      </c>
      <c r="I57" s="297" t="s">
        <v>1702</v>
      </c>
      <c r="J57" s="297" t="s">
        <v>1703</v>
      </c>
      <c r="K57" s="297" t="s">
        <v>1704</v>
      </c>
      <c r="L57" s="297" t="s">
        <v>1705</v>
      </c>
      <c r="M57" s="297" t="s">
        <v>1711</v>
      </c>
      <c r="N57" s="541" t="s">
        <v>1548</v>
      </c>
      <c r="O57" s="79"/>
      <c r="P57" s="79"/>
      <c r="Q57" s="79"/>
      <c r="R57" s="79" t="s">
        <v>3105</v>
      </c>
      <c r="S57" s="79" t="s">
        <v>3104</v>
      </c>
      <c r="T57" s="79" t="s">
        <v>2918</v>
      </c>
      <c r="U57" s="79" t="s">
        <v>3225</v>
      </c>
      <c r="V57" s="79" t="s">
        <v>3227</v>
      </c>
      <c r="W57" s="79" t="s">
        <v>3229</v>
      </c>
      <c r="X57" s="79" t="s">
        <v>3230</v>
      </c>
      <c r="Y57" s="79" t="s">
        <v>2490</v>
      </c>
      <c r="Z57" s="79" t="s">
        <v>3106</v>
      </c>
    </row>
    <row r="58" spans="1:26">
      <c r="A58">
        <v>6</v>
      </c>
      <c r="B58" t="s">
        <v>3110</v>
      </c>
      <c r="D58" s="32" t="s">
        <v>158</v>
      </c>
      <c r="E58" s="32" t="s">
        <v>1464</v>
      </c>
      <c r="F58" s="32" t="s">
        <v>1461</v>
      </c>
      <c r="G58" s="32" t="s">
        <v>1549</v>
      </c>
      <c r="H58" s="40" t="s">
        <v>1695</v>
      </c>
      <c r="I58" s="40" t="s">
        <v>1696</v>
      </c>
      <c r="J58" s="40" t="s">
        <v>1697</v>
      </c>
      <c r="K58" s="40" t="s">
        <v>1698</v>
      </c>
      <c r="L58" s="40" t="s">
        <v>1699</v>
      </c>
      <c r="M58" s="40" t="s">
        <v>1700</v>
      </c>
      <c r="N58" s="75" t="s">
        <v>1548</v>
      </c>
      <c r="O58" s="32"/>
      <c r="P58" s="32"/>
      <c r="Q58" s="32"/>
      <c r="R58" s="32" t="s">
        <v>644</v>
      </c>
      <c r="S58" s="32" t="s">
        <v>647</v>
      </c>
      <c r="T58" s="32" t="s">
        <v>2918</v>
      </c>
      <c r="U58" s="32" t="s">
        <v>3225</v>
      </c>
      <c r="V58" s="32" t="s">
        <v>3227</v>
      </c>
      <c r="W58" s="32" t="s">
        <v>3229</v>
      </c>
      <c r="X58" s="32" t="s">
        <v>3230</v>
      </c>
      <c r="Y58" s="32" t="s">
        <v>3233</v>
      </c>
      <c r="Z58" s="32" t="s">
        <v>3231</v>
      </c>
    </row>
    <row r="59" spans="1:26" s="510" customFormat="1">
      <c r="A59" s="510">
        <v>7</v>
      </c>
      <c r="B59" s="510" t="s">
        <v>4775</v>
      </c>
      <c r="D59" s="514" t="s">
        <v>5122</v>
      </c>
      <c r="E59" s="513" t="s">
        <v>5123</v>
      </c>
      <c r="F59" s="513" t="s">
        <v>5124</v>
      </c>
      <c r="G59" s="513" t="s">
        <v>5125</v>
      </c>
      <c r="H59" s="513" t="s">
        <v>5126</v>
      </c>
      <c r="I59" s="513" t="s">
        <v>5127</v>
      </c>
      <c r="J59" s="513" t="s">
        <v>5128</v>
      </c>
      <c r="K59" s="513" t="s">
        <v>5129</v>
      </c>
      <c r="L59" s="513" t="s">
        <v>5130</v>
      </c>
      <c r="M59" s="513" t="s">
        <v>5131</v>
      </c>
      <c r="N59" s="542" t="s">
        <v>5132</v>
      </c>
      <c r="O59" s="513"/>
      <c r="P59" s="513"/>
      <c r="Q59" s="513"/>
      <c r="R59" s="513" t="s">
        <v>1536</v>
      </c>
      <c r="S59" s="513" t="s">
        <v>5133</v>
      </c>
      <c r="T59" s="513" t="s">
        <v>5134</v>
      </c>
      <c r="U59" s="513" t="s">
        <v>3225</v>
      </c>
      <c r="V59" s="510" t="s">
        <v>3227</v>
      </c>
      <c r="W59" s="510" t="s">
        <v>5135</v>
      </c>
      <c r="X59" s="510" t="s">
        <v>3230</v>
      </c>
      <c r="Y59" s="510" t="s">
        <v>5136</v>
      </c>
      <c r="Z59" s="510" t="s">
        <v>5137</v>
      </c>
    </row>
    <row r="60" spans="1:26">
      <c r="N60"/>
    </row>
    <row r="61" spans="1:26" s="145" customFormat="1">
      <c r="B61" s="145" t="s">
        <v>3190</v>
      </c>
      <c r="D61" s="145" t="str">
        <f>LOOKUP($A$1,'Lang Drops'!$A$3:$A$9,'Lang Drops'!D63:D69)</f>
        <v>carbon</v>
      </c>
      <c r="E61" s="145" t="str">
        <f>LOOKUP($A$1,'Lang Drops'!$A$3:$A$9,'Lang Drops'!E63:E69)</f>
        <v>GRP</v>
      </c>
      <c r="F61" s="145" t="str">
        <f>LOOKUP($A$1,'Lang Drops'!$A$3:$A$9,'Lang Drops'!F63:F69)</f>
        <v>hollow steel with or without comp. fairings</v>
      </c>
      <c r="G61" s="145" t="str">
        <f>LOOKUP($A$1,'Lang Drops'!$A$3:$A$9,'Lang Drops'!G63:G69)</f>
        <v>solid steel + composite fairings</v>
      </c>
      <c r="H61" s="145" t="str">
        <f>LOOKUP($A$1,'Lang Drops'!$A$3:$A$9,'Lang Drops'!H63:H69)</f>
        <v>lead + composite fairings</v>
      </c>
      <c r="I61" s="145" t="str">
        <f>LOOKUP($A$1,'Lang Drops'!$A$3:$A$9,'Lang Drops'!I63:I69)</f>
        <v>cast iron + composite fairings</v>
      </c>
      <c r="J61" s="145" t="str">
        <f>LOOKUP($A$1,'Lang Drops'!$A$3:$A$9,'Lang Drops'!J63:J69)</f>
        <v>cast iron + lead + composite fairings</v>
      </c>
      <c r="K61" s="145" t="str">
        <f>LOOKUP($A$1,'Lang Drops'!$A$3:$A$9,'Lang Drops'!K63:K69)</f>
        <v>solid steel (surface fairing only)</v>
      </c>
      <c r="L61" s="145" t="str">
        <f>LOOKUP($A$1,'Lang Drops'!$A$3:$A$9,'Lang Drops'!L63:L69)</f>
        <v>lead (surface fairing only)</v>
      </c>
      <c r="M61" s="145" t="str">
        <f>LOOKUP($A$1,'Lang Drops'!$A$3:$A$9,'Lang Drops'!M63:M69)</f>
        <v>cast iron (surface fairing only)</v>
      </c>
      <c r="N61" s="145" t="str">
        <f>LOOKUP($A$1,'Lang Drops'!$A$3:$A$9,'Lang Drops'!N63:N69)</f>
        <v>lead + cast iron (surface fairing only)</v>
      </c>
      <c r="O61" s="145" t="str">
        <f>LOOKUP($A$1,'Lang Drops'!$A$3:$A$9,'Lang Drops'!O63:O69)</f>
        <v>bronze</v>
      </c>
      <c r="P61" s="145" t="str">
        <f>LOOKUP($A$1,'Lang Drops'!$A$3:$A$9,'Lang Drops'!P63:P69)</f>
        <v>aluminium/alloy</v>
      </c>
      <c r="Q61" s="145" t="str">
        <f>LOOKUP($A$1,'Lang Drops'!$A$3:$A$9,'Lang Drops'!Q63:Q69)</f>
        <v>Other or various (please give details)</v>
      </c>
      <c r="R61" s="145">
        <f>LOOKUP($A$1,'Lang Drops'!$A$3:$A$9,'Lang Drops'!R63:R69)</f>
        <v>0</v>
      </c>
    </row>
    <row r="62" spans="1:26">
      <c r="D62" s="20"/>
    </row>
    <row r="63" spans="1:26">
      <c r="A63">
        <v>1</v>
      </c>
      <c r="B63" t="s">
        <v>3191</v>
      </c>
      <c r="D63" s="32" t="s">
        <v>3627</v>
      </c>
      <c r="E63" s="32" t="s">
        <v>2270</v>
      </c>
      <c r="F63" s="32" t="s">
        <v>3812</v>
      </c>
      <c r="G63" s="32" t="s">
        <v>2271</v>
      </c>
      <c r="H63" s="32" t="s">
        <v>3926</v>
      </c>
      <c r="I63" s="32" t="s">
        <v>2451</v>
      </c>
      <c r="J63" s="32" t="s">
        <v>2452</v>
      </c>
      <c r="K63" s="32" t="s">
        <v>3927</v>
      </c>
      <c r="L63" s="32" t="s">
        <v>3928</v>
      </c>
      <c r="M63" s="32" t="s">
        <v>3755</v>
      </c>
      <c r="N63" s="75" t="s">
        <v>3756</v>
      </c>
      <c r="O63" s="32" t="s">
        <v>3235</v>
      </c>
      <c r="P63" s="32" t="s">
        <v>376</v>
      </c>
      <c r="Q63" s="502" t="s">
        <v>4759</v>
      </c>
    </row>
    <row r="64" spans="1:26">
      <c r="A64">
        <v>2</v>
      </c>
      <c r="B64" t="s">
        <v>3192</v>
      </c>
      <c r="D64" s="61" t="s">
        <v>3331</v>
      </c>
      <c r="E64" s="61" t="s">
        <v>2</v>
      </c>
      <c r="F64" s="61" t="s">
        <v>628</v>
      </c>
      <c r="G64" t="s">
        <v>627</v>
      </c>
      <c r="H64" s="61" t="s">
        <v>625</v>
      </c>
      <c r="I64" s="61" t="s">
        <v>626</v>
      </c>
      <c r="J64" s="61" t="s">
        <v>624</v>
      </c>
      <c r="K64" s="61" t="s">
        <v>629</v>
      </c>
      <c r="L64" s="61" t="s">
        <v>630</v>
      </c>
      <c r="M64" s="61" t="s">
        <v>631</v>
      </c>
      <c r="N64" s="61" t="s">
        <v>632</v>
      </c>
      <c r="O64" s="61" t="s">
        <v>3235</v>
      </c>
      <c r="P64" s="61" t="s">
        <v>3780</v>
      </c>
      <c r="Q64" s="307" t="s">
        <v>4756</v>
      </c>
    </row>
    <row r="65" spans="1:17">
      <c r="A65">
        <v>3</v>
      </c>
      <c r="B65" t="s">
        <v>3193</v>
      </c>
      <c r="D65" s="79" t="s">
        <v>1528</v>
      </c>
      <c r="E65" s="79" t="s">
        <v>1912</v>
      </c>
      <c r="F65" s="79" t="s">
        <v>1913</v>
      </c>
      <c r="G65" s="79" t="s">
        <v>1914</v>
      </c>
      <c r="H65" s="79" t="s">
        <v>1915</v>
      </c>
      <c r="I65" s="79" t="s">
        <v>1916</v>
      </c>
      <c r="J65" s="79" t="s">
        <v>1917</v>
      </c>
      <c r="K65" s="79" t="s">
        <v>1918</v>
      </c>
      <c r="L65" s="79" t="s">
        <v>1919</v>
      </c>
      <c r="M65" s="79" t="s">
        <v>1920</v>
      </c>
      <c r="N65" s="541" t="s">
        <v>1921</v>
      </c>
      <c r="O65" s="79" t="s">
        <v>1922</v>
      </c>
      <c r="P65" s="79" t="s">
        <v>1923</v>
      </c>
      <c r="Q65" s="53" t="s">
        <v>4757</v>
      </c>
    </row>
    <row r="66" spans="1:17">
      <c r="A66">
        <v>4</v>
      </c>
      <c r="B66" t="s">
        <v>3194</v>
      </c>
    </row>
    <row r="67" spans="1:17">
      <c r="A67">
        <v>5</v>
      </c>
      <c r="B67" t="s">
        <v>3195</v>
      </c>
      <c r="D67" s="175" t="s">
        <v>3098</v>
      </c>
      <c r="E67" s="79" t="s">
        <v>2835</v>
      </c>
      <c r="F67" s="79" t="s">
        <v>638</v>
      </c>
      <c r="G67" s="79" t="s">
        <v>639</v>
      </c>
      <c r="H67" s="79" t="s">
        <v>640</v>
      </c>
      <c r="I67" s="79" t="s">
        <v>3108</v>
      </c>
      <c r="J67" s="79" t="s">
        <v>641</v>
      </c>
      <c r="K67" s="79" t="s">
        <v>3144</v>
      </c>
      <c r="L67" s="79" t="s">
        <v>1471</v>
      </c>
      <c r="M67" s="79" t="s">
        <v>1472</v>
      </c>
      <c r="N67" s="541" t="s">
        <v>1473</v>
      </c>
      <c r="O67" s="79" t="s">
        <v>3107</v>
      </c>
      <c r="P67" s="79" t="s">
        <v>3133</v>
      </c>
      <c r="Q67" s="501" t="s">
        <v>4758</v>
      </c>
    </row>
    <row r="68" spans="1:17">
      <c r="A68">
        <v>6</v>
      </c>
      <c r="B68" t="s">
        <v>3110</v>
      </c>
      <c r="D68" s="32" t="s">
        <v>3627</v>
      </c>
      <c r="E68" s="32" t="s">
        <v>2270</v>
      </c>
      <c r="F68" s="32" t="s">
        <v>3812</v>
      </c>
      <c r="G68" s="32" t="s">
        <v>2271</v>
      </c>
      <c r="H68" s="32" t="s">
        <v>3926</v>
      </c>
      <c r="I68" s="32" t="s">
        <v>2451</v>
      </c>
      <c r="J68" s="32" t="s">
        <v>2452</v>
      </c>
      <c r="K68" s="32" t="s">
        <v>3927</v>
      </c>
      <c r="L68" s="32" t="s">
        <v>3928</v>
      </c>
      <c r="M68" s="32" t="s">
        <v>3755</v>
      </c>
      <c r="N68" s="75" t="s">
        <v>3756</v>
      </c>
      <c r="O68" s="32" t="s">
        <v>3235</v>
      </c>
      <c r="P68" s="32" t="s">
        <v>376</v>
      </c>
      <c r="Q68" s="502" t="s">
        <v>4759</v>
      </c>
    </row>
    <row r="69" spans="1:17" s="510" customFormat="1">
      <c r="A69" s="510">
        <v>7</v>
      </c>
      <c r="B69" s="510" t="s">
        <v>4775</v>
      </c>
      <c r="D69" s="514" t="s">
        <v>3098</v>
      </c>
      <c r="E69" s="513" t="s">
        <v>5138</v>
      </c>
      <c r="F69" s="513" t="s">
        <v>5139</v>
      </c>
      <c r="G69" s="513" t="s">
        <v>5140</v>
      </c>
      <c r="H69" s="513" t="s">
        <v>5141</v>
      </c>
      <c r="I69" s="513" t="s">
        <v>5142</v>
      </c>
      <c r="J69" s="513" t="s">
        <v>5143</v>
      </c>
      <c r="K69" s="513" t="s">
        <v>5144</v>
      </c>
      <c r="L69" s="513" t="s">
        <v>5145</v>
      </c>
      <c r="M69" s="513" t="s">
        <v>5146</v>
      </c>
      <c r="N69" s="542" t="s">
        <v>5147</v>
      </c>
      <c r="O69" s="513" t="s">
        <v>3235</v>
      </c>
      <c r="P69" s="513" t="s">
        <v>3133</v>
      </c>
      <c r="Q69" s="513" t="s">
        <v>5148</v>
      </c>
    </row>
    <row r="71" spans="1:17" s="145" customFormat="1">
      <c r="B71" s="145" t="s">
        <v>3190</v>
      </c>
      <c r="D71" s="145" t="str">
        <f>LOOKUP($A$1,'Lang Drops'!$A$3:$A$9,'Lang Drops'!D73:D79)</f>
        <v>cast iron</v>
      </c>
      <c r="E71" s="145" t="str">
        <f>LOOKUP($A$1,'Lang Drops'!$A$3:$A$9,'Lang Drops'!E73:E79)</f>
        <v>lead</v>
      </c>
      <c r="F71" s="145" t="str">
        <f>LOOKUP($A$1,'Lang Drops'!$A$3:$A$9,'Lang Drops'!F73:F79)</f>
        <v>Other or various (please give details)</v>
      </c>
      <c r="G71" s="145" t="str">
        <f>LOOKUP($A$1,'Lang Drops'!$A$3:$A$9,'Lang Drops'!G73:G79)</f>
        <v>n/a (no bulb)</v>
      </c>
      <c r="H71" s="145" t="str">
        <f>LOOKUP($A$1,'Lang Drops'!$A$3:$A$9,'Lang Drops'!H73:H79)</f>
        <v>Traditional (solid wood, plywood, uncored GRP laminate, etc)</v>
      </c>
      <c r="I71" s="145" t="str">
        <f>LOOKUP($A$1,'Lang Drops'!$A$3:$A$9,'Lang Drops'!I73:I79)</f>
        <v>Light (thin and/or foam cored veneered and/or GRP laminate panels, etc)</v>
      </c>
      <c r="J71" s="145" t="str">
        <f>LOOKUP($A$1,'Lang Drops'!$A$3:$A$9,'Lang Drops'!J73:J79)</f>
        <v>Racing (carbon, nomex and other hi-tech materials)</v>
      </c>
      <c r="N71" s="146"/>
    </row>
    <row r="72" spans="1:17">
      <c r="D72" s="20"/>
    </row>
    <row r="73" spans="1:17">
      <c r="A73">
        <v>1</v>
      </c>
      <c r="B73" t="s">
        <v>3191</v>
      </c>
      <c r="D73" s="32" t="s">
        <v>3318</v>
      </c>
      <c r="E73" s="32" t="s">
        <v>3234</v>
      </c>
      <c r="F73" s="502" t="s">
        <v>4759</v>
      </c>
      <c r="G73" s="32" t="s">
        <v>3239</v>
      </c>
      <c r="H73" s="32" t="s">
        <v>1550</v>
      </c>
      <c r="I73" s="32" t="s">
        <v>1551</v>
      </c>
      <c r="J73" s="32" t="s">
        <v>1552</v>
      </c>
    </row>
    <row r="74" spans="1:17">
      <c r="A74">
        <v>2</v>
      </c>
      <c r="B74" t="s">
        <v>3192</v>
      </c>
      <c r="D74" s="61" t="s">
        <v>2494</v>
      </c>
      <c r="E74" s="61" t="s">
        <v>2493</v>
      </c>
      <c r="F74" s="307" t="s">
        <v>4756</v>
      </c>
      <c r="G74" t="s">
        <v>633</v>
      </c>
      <c r="H74" s="61" t="s">
        <v>636</v>
      </c>
      <c r="I74" s="61" t="s">
        <v>637</v>
      </c>
      <c r="J74" s="61" t="s">
        <v>3596</v>
      </c>
      <c r="K74" s="61"/>
    </row>
    <row r="75" spans="1:17">
      <c r="A75">
        <v>3</v>
      </c>
      <c r="B75" t="s">
        <v>3193</v>
      </c>
      <c r="D75" s="79" t="s">
        <v>1924</v>
      </c>
      <c r="E75" s="79" t="s">
        <v>1925</v>
      </c>
      <c r="F75" s="53" t="s">
        <v>4757</v>
      </c>
      <c r="G75" s="79" t="s">
        <v>1926</v>
      </c>
      <c r="H75" s="79" t="s">
        <v>1927</v>
      </c>
      <c r="I75" s="79" t="s">
        <v>115</v>
      </c>
      <c r="J75" s="79" t="s">
        <v>116</v>
      </c>
    </row>
    <row r="76" spans="1:17">
      <c r="A76">
        <v>4</v>
      </c>
      <c r="B76" t="s">
        <v>3194</v>
      </c>
    </row>
    <row r="77" spans="1:17">
      <c r="A77">
        <v>5</v>
      </c>
      <c r="B77" t="s">
        <v>3195</v>
      </c>
      <c r="D77" s="175" t="s">
        <v>1474</v>
      </c>
      <c r="E77" s="79" t="s">
        <v>1475</v>
      </c>
      <c r="F77" s="501" t="s">
        <v>4758</v>
      </c>
      <c r="G77" s="79" t="s">
        <v>3140</v>
      </c>
      <c r="H77" s="79" t="s">
        <v>3141</v>
      </c>
      <c r="I77" s="79" t="s">
        <v>3142</v>
      </c>
      <c r="J77" s="79" t="s">
        <v>3143</v>
      </c>
    </row>
    <row r="78" spans="1:17">
      <c r="A78">
        <v>6</v>
      </c>
      <c r="B78" t="s">
        <v>3110</v>
      </c>
      <c r="D78" s="32" t="s">
        <v>3318</v>
      </c>
      <c r="E78" s="32" t="s">
        <v>3234</v>
      </c>
      <c r="F78" s="502" t="s">
        <v>4759</v>
      </c>
      <c r="G78" s="32" t="s">
        <v>3239</v>
      </c>
      <c r="H78" s="32" t="s">
        <v>1550</v>
      </c>
      <c r="I78" s="32" t="s">
        <v>1551</v>
      </c>
      <c r="J78" s="32" t="s">
        <v>1552</v>
      </c>
    </row>
    <row r="79" spans="1:17" s="510" customFormat="1">
      <c r="A79" s="510">
        <v>7</v>
      </c>
      <c r="B79" s="510" t="s">
        <v>4775</v>
      </c>
      <c r="D79" s="514" t="s">
        <v>5149</v>
      </c>
      <c r="E79" s="513" t="s">
        <v>5150</v>
      </c>
      <c r="F79" s="513" t="s">
        <v>5148</v>
      </c>
      <c r="G79" s="513" t="s">
        <v>5151</v>
      </c>
      <c r="H79" s="513" t="s">
        <v>5152</v>
      </c>
      <c r="I79" s="513" t="s">
        <v>5153</v>
      </c>
      <c r="J79" s="513" t="s">
        <v>5154</v>
      </c>
      <c r="N79" s="523"/>
    </row>
    <row r="81" spans="1:18" s="145" customFormat="1">
      <c r="B81" s="145" t="s">
        <v>3190</v>
      </c>
      <c r="D81" s="145" t="str">
        <f>LOOKUP($A$1,'Lang Drops'!$A$3:$A$9,'Lang Drops'!D83:D89)</f>
        <v>1 Traditional, attached rudder</v>
      </c>
      <c r="E81" s="145" t="str">
        <f>LOOKUP($A$1,'Lang Drops'!$A$3:$A$9,'Lang Drops'!E83:E89)</f>
        <v>2 Long keel with separate rudder</v>
      </c>
      <c r="F81" s="145" t="str">
        <f>LOOKUP($A$1,'Lang Drops'!$A$3:$A$9,'Lang Drops'!F83:F89)</f>
        <v>3 mickey mouse</v>
      </c>
      <c r="G81" s="145" t="str">
        <f>LOOKUP($A$1,'Lang Drops'!$A$3:$A$9,'Lang Drops'!G83:G89)</f>
        <v>4 tapered fin</v>
      </c>
      <c r="H81" s="145" t="str">
        <f>LOOKUP($A$1,'Lang Drops'!$A$3:$A$9,'Lang Drops'!H83:H89)</f>
        <v>5 straight fin</v>
      </c>
      <c r="I81" s="145" t="str">
        <f>LOOKUP($A$1,'Lang Drops'!$A$3:$A$9,'Lang Drops'!I83:I89)</f>
        <v>6 straight deep fin</v>
      </c>
      <c r="J81" s="145" t="str">
        <f>LOOKUP($A$1,'Lang Drops'!$A$3:$A$9,'Lang Drops'!J83:J89)</f>
        <v>7 flare low cg</v>
      </c>
      <c r="K81" s="145" t="str">
        <f>LOOKUP($A$1,'Lang Drops'!$A$3:$A$9,'Lang Drops'!K83:K89)</f>
        <v>8 flare low cg, deep fin</v>
      </c>
      <c r="L81" s="145" t="str">
        <f>LOOKUP($A$1,'Lang Drops'!$A$3:$A$9,'Lang Drops'!L83:L89)</f>
        <v>9 'L' bulb/low cg</v>
      </c>
      <c r="M81" s="145" t="str">
        <f>LOOKUP($A$1,'Lang Drops'!$A$3:$A$9,'Lang Drops'!M83:M89)</f>
        <v>10 'T' bulb</v>
      </c>
      <c r="N81" s="145" t="str">
        <f>LOOKUP($A$1,'Lang Drops'!$A$3:$A$9,'Lang Drops'!N83:N89)</f>
        <v>11 'L' bulb, deep fin</v>
      </c>
      <c r="O81" s="145" t="str">
        <f>LOOKUP($A$1,'Lang Drops'!$A$3:$A$9,'Lang Drops'!O83:O89)</f>
        <v>12 deep bulb + winglets</v>
      </c>
      <c r="P81" s="145" t="str">
        <f>LOOKUP($A$1,'Lang Drops'!$A$3:$A$9,'Lang Drops'!P83:P89)</f>
        <v>13 wing</v>
      </c>
      <c r="Q81" s="145" t="str">
        <f>LOOKUP($A$1,'Lang Drops'!$A$3:$A$9,'Lang Drops'!Q83:Q89)</f>
        <v>14 Other (supply pictures)</v>
      </c>
      <c r="R81" s="145">
        <f>LOOKUP($A$1,'Lang Drops'!$A$3:$A$9,'Lang Drops'!R83:R89)</f>
        <v>0</v>
      </c>
    </row>
    <row r="82" spans="1:18">
      <c r="D82" s="20"/>
    </row>
    <row r="83" spans="1:18">
      <c r="A83">
        <v>1</v>
      </c>
      <c r="B83" t="s">
        <v>3191</v>
      </c>
      <c r="D83" s="75" t="s">
        <v>621</v>
      </c>
      <c r="E83" s="75" t="s">
        <v>622</v>
      </c>
      <c r="F83" s="504" t="s">
        <v>4769</v>
      </c>
      <c r="G83" s="75" t="s">
        <v>619</v>
      </c>
      <c r="H83" s="75" t="s">
        <v>623</v>
      </c>
      <c r="I83" s="75" t="s">
        <v>1476</v>
      </c>
      <c r="J83" s="75" t="s">
        <v>1477</v>
      </c>
      <c r="K83" s="75" t="s">
        <v>1478</v>
      </c>
      <c r="L83" s="75" t="s">
        <v>1479</v>
      </c>
      <c r="M83" s="75" t="s">
        <v>3729</v>
      </c>
      <c r="N83" s="75" t="s">
        <v>1480</v>
      </c>
      <c r="O83" s="75" t="s">
        <v>2267</v>
      </c>
      <c r="P83" s="75" t="s">
        <v>2268</v>
      </c>
      <c r="Q83" s="32" t="s">
        <v>2248</v>
      </c>
    </row>
    <row r="84" spans="1:18">
      <c r="A84">
        <v>2</v>
      </c>
      <c r="B84" t="s">
        <v>3192</v>
      </c>
      <c r="D84" s="61" t="s">
        <v>2464</v>
      </c>
      <c r="E84" s="61" t="s">
        <v>2465</v>
      </c>
      <c r="F84" s="61" t="s">
        <v>2466</v>
      </c>
      <c r="G84" t="s">
        <v>2467</v>
      </c>
      <c r="H84" s="61" t="s">
        <v>2468</v>
      </c>
      <c r="I84" s="61" t="s">
        <v>2469</v>
      </c>
      <c r="J84" s="61" t="s">
        <v>2470</v>
      </c>
      <c r="K84" s="61" t="s">
        <v>2471</v>
      </c>
      <c r="L84" s="61" t="s">
        <v>102</v>
      </c>
      <c r="M84" s="61" t="s">
        <v>1096</v>
      </c>
      <c r="N84" s="61" t="s">
        <v>2088</v>
      </c>
      <c r="O84" s="61" t="s">
        <v>3678</v>
      </c>
      <c r="P84" s="61" t="s">
        <v>3679</v>
      </c>
      <c r="Q84" s="61" t="s">
        <v>3680</v>
      </c>
    </row>
    <row r="85" spans="1:18">
      <c r="A85">
        <v>3</v>
      </c>
      <c r="B85" t="s">
        <v>3193</v>
      </c>
      <c r="D85" s="79" t="s">
        <v>117</v>
      </c>
      <c r="E85" s="79" t="s">
        <v>118</v>
      </c>
      <c r="F85" s="79" t="s">
        <v>119</v>
      </c>
      <c r="G85" s="79" t="s">
        <v>120</v>
      </c>
      <c r="H85" s="79" t="s">
        <v>121</v>
      </c>
      <c r="I85" s="79" t="s">
        <v>122</v>
      </c>
      <c r="J85" s="79" t="s">
        <v>123</v>
      </c>
      <c r="K85" s="79" t="s">
        <v>124</v>
      </c>
      <c r="L85" s="79" t="s">
        <v>125</v>
      </c>
      <c r="M85" s="79" t="s">
        <v>1097</v>
      </c>
      <c r="N85" s="541" t="s">
        <v>1714</v>
      </c>
      <c r="O85" s="79" t="s">
        <v>1715</v>
      </c>
      <c r="P85" s="79" t="s">
        <v>1716</v>
      </c>
      <c r="Q85" s="79" t="s">
        <v>1717</v>
      </c>
    </row>
    <row r="86" spans="1:18">
      <c r="A86">
        <v>4</v>
      </c>
      <c r="B86" t="s">
        <v>3194</v>
      </c>
    </row>
    <row r="87" spans="1:18">
      <c r="A87">
        <v>5</v>
      </c>
      <c r="B87" t="s">
        <v>3195</v>
      </c>
      <c r="D87" s="175" t="s">
        <v>3259</v>
      </c>
      <c r="E87" s="79" t="s">
        <v>3260</v>
      </c>
      <c r="F87" s="79" t="s">
        <v>3261</v>
      </c>
      <c r="G87" s="79" t="s">
        <v>3262</v>
      </c>
      <c r="H87" s="79" t="s">
        <v>3263</v>
      </c>
      <c r="I87" s="79" t="s">
        <v>3264</v>
      </c>
      <c r="J87" s="79" t="s">
        <v>3265</v>
      </c>
      <c r="K87" s="79" t="s">
        <v>3266</v>
      </c>
      <c r="L87" s="79" t="s">
        <v>3267</v>
      </c>
      <c r="M87" s="79" t="s">
        <v>1098</v>
      </c>
      <c r="N87" s="541" t="s">
        <v>3268</v>
      </c>
      <c r="O87" s="79" t="s">
        <v>103</v>
      </c>
      <c r="P87" s="79" t="s">
        <v>104</v>
      </c>
      <c r="Q87" s="79" t="s">
        <v>105</v>
      </c>
    </row>
    <row r="88" spans="1:18">
      <c r="A88">
        <v>6</v>
      </c>
      <c r="B88" t="s">
        <v>3110</v>
      </c>
      <c r="D88" s="75" t="s">
        <v>621</v>
      </c>
      <c r="E88" s="75" t="s">
        <v>622</v>
      </c>
      <c r="F88" s="75" t="s">
        <v>620</v>
      </c>
      <c r="G88" s="75" t="s">
        <v>619</v>
      </c>
      <c r="H88" s="75" t="s">
        <v>623</v>
      </c>
      <c r="I88" s="75" t="s">
        <v>1476</v>
      </c>
      <c r="J88" s="75" t="s">
        <v>1477</v>
      </c>
      <c r="K88" s="75" t="s">
        <v>1478</v>
      </c>
      <c r="L88" s="75" t="s">
        <v>1479</v>
      </c>
      <c r="M88" s="75" t="s">
        <v>3729</v>
      </c>
      <c r="N88" s="75" t="s">
        <v>1480</v>
      </c>
      <c r="O88" s="75" t="s">
        <v>2267</v>
      </c>
      <c r="P88" s="75" t="s">
        <v>2268</v>
      </c>
      <c r="Q88" s="32" t="s">
        <v>2248</v>
      </c>
    </row>
    <row r="89" spans="1:18" s="510" customFormat="1">
      <c r="A89" s="510">
        <v>7</v>
      </c>
      <c r="B89" s="510" t="s">
        <v>4775</v>
      </c>
      <c r="D89" s="514" t="s">
        <v>5155</v>
      </c>
      <c r="E89" s="513" t="s">
        <v>5156</v>
      </c>
      <c r="F89" s="513" t="s">
        <v>5157</v>
      </c>
      <c r="G89" s="513" t="s">
        <v>5158</v>
      </c>
      <c r="H89" s="513" t="s">
        <v>5159</v>
      </c>
      <c r="I89" s="513" t="s">
        <v>5160</v>
      </c>
      <c r="J89" s="513" t="s">
        <v>5161</v>
      </c>
      <c r="K89" s="513" t="s">
        <v>5162</v>
      </c>
      <c r="L89" s="513" t="s">
        <v>5163</v>
      </c>
      <c r="M89" s="513" t="s">
        <v>5164</v>
      </c>
      <c r="N89" s="542" t="s">
        <v>5165</v>
      </c>
      <c r="O89" s="513" t="s">
        <v>5166</v>
      </c>
      <c r="P89" s="513" t="s">
        <v>5167</v>
      </c>
      <c r="Q89" s="513" t="s">
        <v>5168</v>
      </c>
    </row>
    <row r="91" spans="1:18" s="145" customFormat="1">
      <c r="B91" s="145" t="s">
        <v>3190</v>
      </c>
      <c r="D91" s="145" t="str">
        <f>LOOKUP($A$1,'Lang Drops'!$A$3:$A$9,'Lang Drops'!D93:D99)</f>
        <v>Visa</v>
      </c>
      <c r="E91" s="145" t="str">
        <f>LOOKUP($A$1,'Lang Drops'!$A$3:$A$9,'Lang Drops'!E93:E99)</f>
        <v>MasterCard</v>
      </c>
      <c r="F91" s="145" t="str">
        <f>LOOKUP($A$1,'Lang Drops'!$A$3:$A$9,'Lang Drops'!F93:F99)</f>
        <v>Maestro</v>
      </c>
      <c r="G91" s="145" t="str">
        <f>LOOKUP($A$1,'Lang Drops'!$A$3:$A$9,'Lang Drops'!G93:G99)</f>
        <v>コンポジット（カーボン、PBOなど）</v>
      </c>
      <c r="H91" s="145" t="str">
        <f>LOOKUP($A$1,'Lang Drops'!$A$3:$A$9,'Lang Drops'!H93:H99)</f>
        <v>フォアステイのみコンポジット、他はロッド</v>
      </c>
      <c r="I91" s="145" t="str">
        <f>LOOKUP($A$1,'Lang Drops'!$A$3:$A$9,'Lang Drops'!I93:I99)</f>
        <v>ロッドのみ</v>
      </c>
      <c r="J91" s="145" t="str">
        <f>LOOKUP($A$1,'Lang Drops'!$A$3:$A$9,'Lang Drops'!J93:J99)</f>
        <v>ワイヤー</v>
      </c>
      <c r="K91" s="145" t="str">
        <f>LOOKUP($A$1,'Lang Drops'!$A$3:$A$9,'Lang Drops'!K93:K99)</f>
        <v>フォアステイのみロッド、他はワイヤー</v>
      </c>
      <c r="L91" s="145" t="str">
        <f>LOOKUP($A$1,'Lang Drops'!$A$3:$A$9,'Lang Drops'!L93:L99)</f>
        <v xml:space="preserve">フォアステイのみコンポジット、他はワイヤー </v>
      </c>
      <c r="M91" s="145" t="str">
        <f>LOOKUP($A$1,'Lang Drops'!$A$3:$A$9,'Lang Drops'!M93:M99)</f>
        <v>Other or various (please give details)</v>
      </c>
      <c r="N91" s="146"/>
    </row>
    <row r="92" spans="1:18">
      <c r="D92" s="20"/>
    </row>
    <row r="93" spans="1:18">
      <c r="A93">
        <v>1</v>
      </c>
      <c r="B93" t="s">
        <v>3191</v>
      </c>
      <c r="D93" s="32" t="s">
        <v>2260</v>
      </c>
      <c r="E93" s="32" t="s">
        <v>2261</v>
      </c>
      <c r="F93" s="32" t="s">
        <v>2262</v>
      </c>
      <c r="G93" s="17" t="s">
        <v>3901</v>
      </c>
      <c r="H93" s="17" t="s">
        <v>3757</v>
      </c>
      <c r="I93" s="17" t="s">
        <v>3930</v>
      </c>
      <c r="J93" s="17" t="s">
        <v>3931</v>
      </c>
      <c r="K93" s="20" t="s">
        <v>2901</v>
      </c>
      <c r="L93" s="17" t="s">
        <v>2900</v>
      </c>
      <c r="M93" s="502" t="s">
        <v>4759</v>
      </c>
    </row>
    <row r="94" spans="1:18">
      <c r="A94">
        <v>2</v>
      </c>
      <c r="B94" t="s">
        <v>3192</v>
      </c>
      <c r="D94" s="61" t="s">
        <v>3650</v>
      </c>
      <c r="E94" s="61" t="s">
        <v>3650</v>
      </c>
      <c r="F94" s="61" t="s">
        <v>3650</v>
      </c>
      <c r="G94" t="s">
        <v>3902</v>
      </c>
      <c r="H94" s="61" t="s">
        <v>3758</v>
      </c>
      <c r="I94" s="61" t="s">
        <v>3682</v>
      </c>
      <c r="J94" s="61" t="s">
        <v>3681</v>
      </c>
      <c r="K94" s="174" t="s">
        <v>195</v>
      </c>
      <c r="L94" s="174" t="s">
        <v>198</v>
      </c>
      <c r="M94" s="307" t="s">
        <v>4756</v>
      </c>
    </row>
    <row r="95" spans="1:18">
      <c r="A95">
        <v>3</v>
      </c>
      <c r="B95" t="s">
        <v>3193</v>
      </c>
      <c r="D95" s="79" t="s">
        <v>1718</v>
      </c>
      <c r="E95" s="79" t="s">
        <v>1718</v>
      </c>
      <c r="F95" s="79" t="s">
        <v>1718</v>
      </c>
      <c r="G95" s="79" t="s">
        <v>3903</v>
      </c>
      <c r="H95" s="79" t="s">
        <v>1719</v>
      </c>
      <c r="I95" s="79" t="s">
        <v>1720</v>
      </c>
      <c r="J95" s="79" t="s">
        <v>1721</v>
      </c>
      <c r="K95" s="174" t="s">
        <v>196</v>
      </c>
      <c r="L95" s="174" t="s">
        <v>199</v>
      </c>
      <c r="M95" s="53" t="s">
        <v>4757</v>
      </c>
    </row>
    <row r="96" spans="1:18">
      <c r="A96">
        <v>4</v>
      </c>
      <c r="B96" t="s">
        <v>3194</v>
      </c>
    </row>
    <row r="97" spans="1:14">
      <c r="A97">
        <v>5</v>
      </c>
      <c r="B97" t="s">
        <v>3195</v>
      </c>
      <c r="D97" s="175" t="s">
        <v>2732</v>
      </c>
      <c r="E97" s="175" t="s">
        <v>2732</v>
      </c>
      <c r="F97" s="175" t="s">
        <v>2732</v>
      </c>
      <c r="G97" s="79" t="s">
        <v>3904</v>
      </c>
      <c r="H97" s="79" t="s">
        <v>106</v>
      </c>
      <c r="I97" s="79" t="s">
        <v>1465</v>
      </c>
      <c r="J97" s="79" t="s">
        <v>1468</v>
      </c>
      <c r="K97" s="174" t="s">
        <v>197</v>
      </c>
      <c r="L97" s="174" t="s">
        <v>200</v>
      </c>
      <c r="M97" s="501" t="s">
        <v>4758</v>
      </c>
    </row>
    <row r="98" spans="1:14" ht="12.9">
      <c r="A98">
        <v>6</v>
      </c>
      <c r="B98" t="s">
        <v>3110</v>
      </c>
      <c r="D98" s="32" t="s">
        <v>2260</v>
      </c>
      <c r="E98" s="32" t="s">
        <v>2261</v>
      </c>
      <c r="F98" s="32" t="s">
        <v>2262</v>
      </c>
      <c r="G98" s="283" t="s">
        <v>189</v>
      </c>
      <c r="H98" s="283" t="s">
        <v>190</v>
      </c>
      <c r="I98" s="283" t="s">
        <v>191</v>
      </c>
      <c r="J98" s="283" t="s">
        <v>192</v>
      </c>
      <c r="K98" s="282" t="s">
        <v>187</v>
      </c>
      <c r="L98" s="283" t="s">
        <v>188</v>
      </c>
      <c r="M98" s="502" t="s">
        <v>4759</v>
      </c>
    </row>
    <row r="99" spans="1:14" s="510" customFormat="1">
      <c r="A99" s="510">
        <v>7</v>
      </c>
      <c r="B99" s="510" t="s">
        <v>4775</v>
      </c>
      <c r="D99" s="514" t="s">
        <v>2260</v>
      </c>
      <c r="E99" s="514" t="s">
        <v>2261</v>
      </c>
      <c r="F99" s="514" t="s">
        <v>2262</v>
      </c>
      <c r="G99" s="513" t="s">
        <v>5169</v>
      </c>
      <c r="H99" s="513" t="s">
        <v>5170</v>
      </c>
      <c r="I99" s="513" t="s">
        <v>5171</v>
      </c>
      <c r="J99" s="513" t="s">
        <v>5172</v>
      </c>
      <c r="K99" s="513" t="s">
        <v>5173</v>
      </c>
      <c r="L99" s="510" t="s">
        <v>5174</v>
      </c>
      <c r="M99" s="510" t="s">
        <v>5175</v>
      </c>
      <c r="N99" s="523"/>
    </row>
    <row r="100" spans="1:14">
      <c r="D100" s="32"/>
    </row>
    <row r="101" spans="1:14" s="145" customFormat="1">
      <c r="B101" s="145" t="s">
        <v>3190</v>
      </c>
      <c r="D101" s="145" t="str">
        <f>LOOKUP($A$1,'Lang Drops'!$A$3:$A$9,'Lang Drops'!D103:D109)</f>
        <v>&lt;select from list&gt;</v>
      </c>
      <c r="E101" s="145" t="str">
        <f>LOOKUP($A$1,'Lang Drops'!$A$3:$A$9,'Lang Drops'!E103:E109)</f>
        <v>No</v>
      </c>
      <c r="F101" s="145" t="str">
        <f>LOOKUP($A$1,'Lang Drops'!$A$3:$A$9,'Lang Drops'!F103:F109)</f>
        <v>Yes: Aft rigging ONLY</v>
      </c>
      <c r="G101" s="145" t="str">
        <f>LOOKUP($A$1,'Lang Drops'!$A$3:$A$9,'Lang Drops'!G103:G109)</f>
        <v>Yes: Running rigging</v>
      </c>
      <c r="H101" s="145" t="str">
        <f>LOOKUP($A$1,'Lang Drops'!$A$3:$A$9,'Lang Drops'!H103:H109)</f>
        <v>&lt;select&gt;</v>
      </c>
      <c r="I101" s="145" t="str">
        <f>LOOKUP($A$1,'Lang Drops'!$A$3:$A$9,'Lang Drops'!I103:I109)</f>
        <v>Yes</v>
      </c>
      <c r="J101" s="145" t="str">
        <f>LOOKUP($A$1,'Lang Drops'!$A$3:$A$9,'Lang Drops'!J103:J109)</f>
        <v>No</v>
      </c>
      <c r="K101" s="145" t="str">
        <f>LOOKUP($A$1,'Lang Drops'!$A$3:$A$9,'Lang Drops'!K103:K109)</f>
        <v>はい、レース中使用</v>
      </c>
      <c r="L101" s="145" t="str">
        <f>LOOKUP($A$1,'Lang Drops'!$A$3:$A$9,'Lang Drops'!L103:L109)</f>
        <v>はい、しかしレース中は使用しない</v>
      </c>
      <c r="M101" s="145" t="str">
        <f>LOOKUP($A$1,'Lang Drops'!$A$3:$A$9,'Lang Drops'!M103:M109)</f>
        <v>Select ONLY if 1 headsail</v>
      </c>
      <c r="N101" s="146"/>
    </row>
    <row r="103" spans="1:14">
      <c r="A103">
        <v>1</v>
      </c>
      <c r="B103" t="s">
        <v>3191</v>
      </c>
      <c r="D103" s="17" t="s">
        <v>3929</v>
      </c>
      <c r="E103" s="32" t="s">
        <v>1010</v>
      </c>
      <c r="F103" s="40" t="s">
        <v>5432</v>
      </c>
      <c r="G103" s="32" t="s">
        <v>3666</v>
      </c>
      <c r="H103" s="17" t="s">
        <v>3615</v>
      </c>
      <c r="I103" s="32" t="s">
        <v>2400</v>
      </c>
      <c r="J103" s="32" t="s">
        <v>1010</v>
      </c>
      <c r="K103" s="32" t="s">
        <v>2776</v>
      </c>
      <c r="L103" s="40" t="s">
        <v>2167</v>
      </c>
      <c r="M103" s="40" t="s">
        <v>5514</v>
      </c>
    </row>
    <row r="104" spans="1:14">
      <c r="A104">
        <v>2</v>
      </c>
      <c r="B104" t="s">
        <v>3192</v>
      </c>
      <c r="D104" s="61" t="s">
        <v>3616</v>
      </c>
      <c r="E104" t="s">
        <v>1569</v>
      </c>
      <c r="F104" s="53" t="s">
        <v>5434</v>
      </c>
      <c r="G104" s="168" t="s">
        <v>1570</v>
      </c>
      <c r="H104" s="61" t="s">
        <v>3616</v>
      </c>
      <c r="I104" t="s">
        <v>3614</v>
      </c>
      <c r="J104" t="s">
        <v>1569</v>
      </c>
      <c r="K104" s="32" t="s">
        <v>5537</v>
      </c>
      <c r="L104" s="40" t="s">
        <v>5538</v>
      </c>
      <c r="M104" t="s">
        <v>5515</v>
      </c>
    </row>
    <row r="105" spans="1:14">
      <c r="A105">
        <v>3</v>
      </c>
      <c r="B105" t="s">
        <v>3193</v>
      </c>
      <c r="D105" s="79" t="s">
        <v>1722</v>
      </c>
      <c r="E105" s="79" t="s">
        <v>1010</v>
      </c>
      <c r="F105" s="297" t="s">
        <v>5436</v>
      </c>
      <c r="G105" s="79" t="s">
        <v>1723</v>
      </c>
      <c r="H105" s="79" t="s">
        <v>1722</v>
      </c>
      <c r="I105" s="79" t="s">
        <v>5513</v>
      </c>
      <c r="J105" s="79" t="s">
        <v>1724</v>
      </c>
      <c r="K105" s="32" t="s">
        <v>5539</v>
      </c>
      <c r="L105" s="40" t="s">
        <v>5540</v>
      </c>
      <c r="M105" t="s">
        <v>5516</v>
      </c>
    </row>
    <row r="106" spans="1:14">
      <c r="A106">
        <v>4</v>
      </c>
      <c r="B106" t="s">
        <v>3194</v>
      </c>
      <c r="K106" s="32"/>
      <c r="L106" s="40"/>
    </row>
    <row r="107" spans="1:14">
      <c r="A107">
        <v>5</v>
      </c>
      <c r="B107" t="s">
        <v>3195</v>
      </c>
      <c r="D107" s="79" t="s">
        <v>1466</v>
      </c>
      <c r="E107" s="79" t="s">
        <v>1010</v>
      </c>
      <c r="F107" s="297" t="s">
        <v>5435</v>
      </c>
      <c r="G107" s="79" t="s">
        <v>1467</v>
      </c>
      <c r="H107" s="79" t="s">
        <v>1466</v>
      </c>
      <c r="I107" s="79" t="s">
        <v>5513</v>
      </c>
      <c r="J107" s="79" t="s">
        <v>1010</v>
      </c>
      <c r="K107" s="32" t="s">
        <v>5541</v>
      </c>
      <c r="L107" s="40" t="s">
        <v>5542</v>
      </c>
      <c r="M107" t="s">
        <v>5517</v>
      </c>
    </row>
    <row r="108" spans="1:14">
      <c r="A108">
        <v>6</v>
      </c>
      <c r="B108" t="s">
        <v>3110</v>
      </c>
      <c r="D108" s="17" t="s">
        <v>3929</v>
      </c>
      <c r="E108" s="32" t="s">
        <v>1010</v>
      </c>
      <c r="F108" s="40" t="s">
        <v>5432</v>
      </c>
      <c r="G108" s="32" t="s">
        <v>3666</v>
      </c>
      <c r="H108" s="17" t="s">
        <v>3615</v>
      </c>
      <c r="I108" s="32" t="s">
        <v>2400</v>
      </c>
      <c r="J108" s="32" t="s">
        <v>1010</v>
      </c>
      <c r="K108" s="302" t="s">
        <v>550</v>
      </c>
      <c r="L108" s="40" t="s">
        <v>4692</v>
      </c>
      <c r="M108" s="40" t="s">
        <v>5514</v>
      </c>
    </row>
    <row r="109" spans="1:14" s="510" customFormat="1">
      <c r="A109" s="510">
        <v>7</v>
      </c>
      <c r="B109" s="510" t="s">
        <v>4775</v>
      </c>
      <c r="D109" s="513" t="s">
        <v>5176</v>
      </c>
      <c r="E109" s="513" t="s">
        <v>5177</v>
      </c>
      <c r="F109" s="297" t="s">
        <v>5433</v>
      </c>
      <c r="G109" s="513" t="s">
        <v>5178</v>
      </c>
      <c r="H109" s="513" t="s">
        <v>5179</v>
      </c>
      <c r="I109" s="513" t="s">
        <v>5180</v>
      </c>
      <c r="J109" s="513" t="s">
        <v>5177</v>
      </c>
      <c r="K109" s="510" t="s">
        <v>5181</v>
      </c>
      <c r="L109" s="510" t="s">
        <v>5186</v>
      </c>
      <c r="M109" s="40" t="s">
        <v>5514</v>
      </c>
      <c r="N109" s="523"/>
    </row>
    <row r="112" spans="1:14" s="145" customFormat="1">
      <c r="B112" s="145" t="s">
        <v>3190</v>
      </c>
      <c r="D112" s="145" t="str">
        <f>LOOKUP($A$1,'Lang Drops'!$A$3:$A$9,'Lang Drops'!D114:D120)</f>
        <v>&lt;select from list&gt;</v>
      </c>
      <c r="E112" s="145" t="str">
        <f>LOOKUP($A$1,'Lang Drops'!$A$3:$A$9,'Lang Drops'!E114:E120)</f>
        <v>No</v>
      </c>
      <c r="F112" s="145" t="str">
        <f>LOOKUP($A$1,'Lang Drops'!$A$3:$A$9,'Lang Drops'!F114:F120)</f>
        <v>Yes, retractable</v>
      </c>
      <c r="G112" s="145" t="str">
        <f>LOOKUP($A$1,'Lang Drops'!$A$3:$A$9,'Lang Drops'!G114:G120)</f>
        <v>Yes, in an open tunnel</v>
      </c>
      <c r="H112" s="145" t="str">
        <f>LOOKUP($A$1,'Lang Drops'!$A$3:$A$9,'Lang Drops'!H114:H120)</f>
        <v>Bow thruster</v>
      </c>
      <c r="I112" s="145" t="str">
        <f>LOOKUP($A$1,'Lang Drops'!$A$3:$A$9,'Lang Drops'!I114:I120)</f>
        <v>同意する</v>
      </c>
      <c r="N112" s="146"/>
    </row>
    <row r="114" spans="1:14">
      <c r="A114">
        <v>1</v>
      </c>
      <c r="B114" t="s">
        <v>3191</v>
      </c>
      <c r="D114" t="s">
        <v>3929</v>
      </c>
      <c r="E114" t="s">
        <v>1010</v>
      </c>
      <c r="F114" t="s">
        <v>3243</v>
      </c>
      <c r="G114" t="s">
        <v>3244</v>
      </c>
      <c r="H114" t="s">
        <v>3247</v>
      </c>
      <c r="I114" t="s">
        <v>4647</v>
      </c>
    </row>
    <row r="115" spans="1:14" s="20" customFormat="1">
      <c r="A115" s="20">
        <v>2</v>
      </c>
      <c r="B115" s="20" t="s">
        <v>3192</v>
      </c>
      <c r="D115" s="95" t="s">
        <v>3616</v>
      </c>
      <c r="E115" s="20" t="s">
        <v>1569</v>
      </c>
      <c r="F115" s="20" t="s">
        <v>3245</v>
      </c>
      <c r="G115" s="20" t="s">
        <v>3246</v>
      </c>
      <c r="H115" s="20" t="s">
        <v>3248</v>
      </c>
      <c r="I115" s="53" t="s">
        <v>4648</v>
      </c>
      <c r="J115" s="53"/>
      <c r="N115" s="95"/>
    </row>
    <row r="116" spans="1:14" s="20" customFormat="1">
      <c r="A116" s="20">
        <v>3</v>
      </c>
      <c r="B116" s="20" t="s">
        <v>3193</v>
      </c>
      <c r="D116" s="20" t="s">
        <v>1080</v>
      </c>
      <c r="E116" s="20" t="s">
        <v>1010</v>
      </c>
      <c r="F116" s="20" t="s">
        <v>1081</v>
      </c>
      <c r="G116" s="20" t="s">
        <v>1082</v>
      </c>
      <c r="H116" s="20" t="s">
        <v>1079</v>
      </c>
      <c r="I116" s="20" t="s">
        <v>4650</v>
      </c>
      <c r="J116" s="53"/>
      <c r="N116" s="95"/>
    </row>
    <row r="117" spans="1:14" s="20" customFormat="1">
      <c r="A117" s="20">
        <v>4</v>
      </c>
      <c r="B117" s="20" t="s">
        <v>3194</v>
      </c>
      <c r="N117" s="95"/>
    </row>
    <row r="118" spans="1:14" s="20" customFormat="1">
      <c r="A118" s="20">
        <v>5</v>
      </c>
      <c r="B118" s="20" t="s">
        <v>3195</v>
      </c>
      <c r="D118" s="53" t="s">
        <v>5543</v>
      </c>
      <c r="E118" s="20" t="s">
        <v>1010</v>
      </c>
      <c r="F118" s="20" t="s">
        <v>3701</v>
      </c>
      <c r="G118" s="20" t="s">
        <v>3702</v>
      </c>
      <c r="H118" s="20" t="s">
        <v>3700</v>
      </c>
      <c r="I118" s="20" t="s">
        <v>4649</v>
      </c>
      <c r="J118" s="53"/>
      <c r="N118" s="95"/>
    </row>
    <row r="119" spans="1:14" s="20" customFormat="1">
      <c r="A119" s="20">
        <v>6</v>
      </c>
      <c r="B119" s="20" t="s">
        <v>4173</v>
      </c>
      <c r="D119" s="20" t="s">
        <v>3929</v>
      </c>
      <c r="E119" s="20" t="s">
        <v>1010</v>
      </c>
      <c r="F119" s="20" t="s">
        <v>3243</v>
      </c>
      <c r="G119" s="20" t="s">
        <v>3244</v>
      </c>
      <c r="H119" s="20" t="s">
        <v>3247</v>
      </c>
      <c r="I119" s="20" t="s">
        <v>4651</v>
      </c>
      <c r="N119" s="95"/>
    </row>
    <row r="120" spans="1:14" s="510" customFormat="1">
      <c r="A120" s="510">
        <v>7</v>
      </c>
      <c r="B120" s="510" t="s">
        <v>4775</v>
      </c>
      <c r="D120" s="510" t="s">
        <v>5182</v>
      </c>
      <c r="E120" s="510" t="s">
        <v>5177</v>
      </c>
      <c r="F120" s="510" t="s">
        <v>5183</v>
      </c>
      <c r="G120" s="510" t="s">
        <v>5184</v>
      </c>
      <c r="H120" s="510" t="s">
        <v>3247</v>
      </c>
      <c r="I120" s="510" t="s">
        <v>5185</v>
      </c>
      <c r="N120" s="523"/>
    </row>
  </sheetData>
  <sheetProtection algorithmName="SHA-512" hashValue="zES5ofIctY7YhWRHbH41u6y/Kmy7Lw5rqXiTDokoZLdV/Gxjg8qpmX8YrBz4zPQ69gNoejy87YMktp/fpoTurA==" saltValue="VtMtthgJfebNgxHbQhhVKA==" spinCount="100000" sheet="1" objects="1" scenarios="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L52" sqref="L52:L56"/>
    </sheetView>
  </sheetViews>
  <sheetFormatPr defaultColWidth="9.15234375" defaultRowHeight="12.45"/>
  <cols>
    <col min="2" max="2" width="20.53515625" customWidth="1"/>
    <col min="5" max="5" width="46.53515625" style="95" bestFit="1" customWidth="1"/>
    <col min="8" max="8" width="19.84375" customWidth="1"/>
  </cols>
  <sheetData>
    <row r="1" spans="1:49" ht="15.45">
      <c r="A1" s="219" t="s">
        <v>4515</v>
      </c>
      <c r="E1" s="301" t="s">
        <v>548</v>
      </c>
      <c r="F1" s="95" t="str">
        <f t="shared" ref="F1:P1" si="0">IF(F3=0,"",F3)</f>
        <v/>
      </c>
      <c r="G1" s="95" t="str">
        <f t="shared" ca="1" si="0"/>
        <v/>
      </c>
      <c r="H1" s="95" t="str">
        <f t="shared" si="0"/>
        <v/>
      </c>
      <c r="I1" s="95" t="str">
        <f t="shared" si="0"/>
        <v/>
      </c>
      <c r="J1" s="95" t="str">
        <f t="shared" si="0"/>
        <v/>
      </c>
      <c r="K1" s="95" t="str">
        <f t="shared" si="0"/>
        <v/>
      </c>
      <c r="L1" s="95" t="str">
        <f t="shared" ca="1" si="0"/>
        <v/>
      </c>
      <c r="M1" s="95" t="str">
        <f t="shared" si="0"/>
        <v/>
      </c>
      <c r="N1" s="95" t="str">
        <f t="shared" si="0"/>
        <v/>
      </c>
      <c r="O1" s="95" t="str">
        <f t="shared" si="0"/>
        <v/>
      </c>
      <c r="P1" s="95" t="str">
        <f t="shared" si="0"/>
        <v/>
      </c>
      <c r="Q1" s="95" t="str">
        <f t="shared" ref="Q1:AW1" si="1">IF(Q3=0,"",Q3)</f>
        <v/>
      </c>
      <c r="R1" s="95" t="str">
        <f t="shared" si="1"/>
        <v/>
      </c>
      <c r="S1" s="95" t="str">
        <f t="shared" si="1"/>
        <v/>
      </c>
      <c r="T1" s="95" t="str">
        <f t="shared" si="1"/>
        <v/>
      </c>
      <c r="U1" s="95" t="str">
        <f t="shared" si="1"/>
        <v/>
      </c>
      <c r="V1" s="95" t="str">
        <f t="shared" si="1"/>
        <v/>
      </c>
      <c r="W1" s="95" t="str">
        <f t="shared" si="1"/>
        <v/>
      </c>
      <c r="X1" s="95" t="str">
        <f t="shared" ca="1" si="1"/>
        <v/>
      </c>
      <c r="Y1" s="95" t="str">
        <f t="shared" ca="1" si="1"/>
        <v/>
      </c>
      <c r="Z1" s="95" t="str">
        <f t="shared" ca="1" si="1"/>
        <v/>
      </c>
      <c r="AA1" s="95" t="str">
        <f t="shared" ca="1" si="1"/>
        <v/>
      </c>
      <c r="AB1" s="95" t="str">
        <f t="shared" ca="1" si="1"/>
        <v/>
      </c>
      <c r="AC1" s="95" t="str">
        <f t="shared" ca="1" si="1"/>
        <v/>
      </c>
      <c r="AD1" s="95" t="str">
        <f t="shared" ca="1" si="1"/>
        <v/>
      </c>
      <c r="AE1" s="95" t="str">
        <f t="shared" ca="1" si="1"/>
        <v/>
      </c>
      <c r="AF1" s="95" t="str">
        <f t="shared" ca="1" si="1"/>
        <v/>
      </c>
      <c r="AG1" s="95" t="str">
        <f t="shared" ca="1" si="1"/>
        <v/>
      </c>
      <c r="AH1" s="95" t="str">
        <f t="shared" ca="1" si="1"/>
        <v/>
      </c>
      <c r="AI1" s="95" t="str">
        <f t="shared" ca="1" si="1"/>
        <v/>
      </c>
      <c r="AJ1" s="95" t="str">
        <f t="shared" ca="1" si="1"/>
        <v/>
      </c>
      <c r="AK1" s="95" t="str">
        <f t="shared" ca="1" si="1"/>
        <v/>
      </c>
      <c r="AL1" s="95" t="str">
        <f t="shared" ca="1" si="1"/>
        <v/>
      </c>
      <c r="AM1" s="95" t="str">
        <f t="shared" ca="1" si="1"/>
        <v/>
      </c>
      <c r="AN1" s="95" t="str">
        <f t="shared" ca="1" si="1"/>
        <v/>
      </c>
      <c r="AO1" s="95" t="str">
        <f t="shared" ca="1" si="1"/>
        <v/>
      </c>
      <c r="AP1" s="95" t="str">
        <f t="shared" ca="1" si="1"/>
        <v/>
      </c>
      <c r="AQ1" s="95" t="str">
        <f t="shared" ca="1" si="1"/>
        <v/>
      </c>
      <c r="AR1" s="95" t="str">
        <f t="shared" ca="1" si="1"/>
        <v/>
      </c>
      <c r="AS1" s="95" t="str">
        <f t="shared" ca="1" si="1"/>
        <v/>
      </c>
      <c r="AT1" s="95" t="str">
        <f t="shared" ca="1" si="1"/>
        <v/>
      </c>
      <c r="AU1" s="95" t="str">
        <f t="shared" ca="1" si="1"/>
        <v/>
      </c>
      <c r="AV1" s="95" t="str">
        <f t="shared" ca="1" si="1"/>
        <v/>
      </c>
      <c r="AW1" s="95" t="str">
        <f t="shared" ca="1" si="1"/>
        <v/>
      </c>
    </row>
    <row r="2" spans="1:49">
      <c r="A2" s="300"/>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row>
    <row r="3" spans="1:49">
      <c r="A3">
        <f>Application!C393</f>
        <v>1</v>
      </c>
      <c r="B3" t="s">
        <v>1736</v>
      </c>
      <c r="E3" s="95">
        <f>LOOKUP($A$3,'Area 2'!$A$4:$A$9,'Area 2'!E4:E9)</f>
        <v>0</v>
      </c>
      <c r="F3" s="95">
        <f>LOOKUP($A$3,'Area 2'!$A$4:$A$9,'Area 2'!F4:F9)</f>
        <v>0</v>
      </c>
      <c r="G3" s="95">
        <f ca="1">LOOKUP($A$3,'Area 2'!$A$4:$A$9,'Area 2'!G4:G8)</f>
        <v>0</v>
      </c>
      <c r="H3" s="95">
        <f>LOOKUP($A$3,'Area 2'!$A$4:$A$9,'Area 2'!H4:H9)</f>
        <v>0</v>
      </c>
      <c r="I3" s="95">
        <f>LOOKUP($A$3,'Area 2'!$A$4:$A$9,'Area 2'!I4:I9)</f>
        <v>0</v>
      </c>
      <c r="J3" s="95">
        <f>LOOKUP($A$3,'Area 2'!$A$4:$A$9,'Area 2'!J4:J9)</f>
        <v>0</v>
      </c>
      <c r="K3" s="95">
        <f>LOOKUP($A$3,'Area 2'!$A$4:$A$9,'Area 2'!K4:K9)</f>
        <v>0</v>
      </c>
      <c r="L3" s="95">
        <f ca="1">LOOKUP($A$3,'Area 2'!$A$4:$A$9,'Area 2'!L4:L8)</f>
        <v>0</v>
      </c>
      <c r="M3" s="95">
        <f>LOOKUP($A$3,'Area 2'!$A$4:$A$9,'Area 2'!M4:M9)</f>
        <v>0</v>
      </c>
      <c r="N3" s="95">
        <f>LOOKUP($A$3,'Area 2'!$A$4:$A$9,'Area 2'!N4:N9)</f>
        <v>0</v>
      </c>
      <c r="O3" s="95">
        <f>LOOKUP($A$3,'Area 2'!$A$4:$A$9,'Area 2'!O4:O9)</f>
        <v>0</v>
      </c>
      <c r="P3" s="95">
        <f>LOOKUP($A$3,'Area 2'!$A$4:$A$9,'Area 2'!P4:P9)</f>
        <v>0</v>
      </c>
      <c r="Q3" s="95">
        <f>LOOKUP($A$3,'Area 2'!$A$4:$A$9,'Area 2'!Q4:Q9)</f>
        <v>0</v>
      </c>
      <c r="R3" s="95">
        <f>LOOKUP($A$3,'Area 2'!$A$4:$A$9,'Area 2'!R4:R9)</f>
        <v>0</v>
      </c>
      <c r="S3" s="95">
        <f>LOOKUP($A$3,'Area 2'!$A$4:$A$9,'Area 2'!S4:S9)</f>
        <v>0</v>
      </c>
      <c r="T3" s="95">
        <f>LOOKUP($A$3,'Area 2'!$A$4:$A$9,'Area 2'!T4:T9)</f>
        <v>0</v>
      </c>
      <c r="U3" s="95">
        <f>LOOKUP($A$3,'Area 2'!$A$4:$A$9,'Area 2'!U4:U9)</f>
        <v>0</v>
      </c>
      <c r="V3" s="95">
        <f>LOOKUP($A$3,'Area 2'!$A$4:$A$9,'Area 2'!V4:V9)</f>
        <v>0</v>
      </c>
      <c r="W3" s="95">
        <f>LOOKUP($A$3,'Area 2'!$A$4:$A$9,'Area 2'!W4:W9)</f>
        <v>0</v>
      </c>
      <c r="X3" s="95">
        <f ca="1">LOOKUP($A$3,'Area 2'!$A$4:$A$9,'Area 2'!X4:X10)</f>
        <v>0</v>
      </c>
      <c r="Y3" s="95">
        <f ca="1">LOOKUP($A$3,'Area 2'!$A$4:$A$9,'Area 2'!Y4:Y10)</f>
        <v>0</v>
      </c>
      <c r="Z3" s="95">
        <f ca="1">LOOKUP($A$3,'Area 2'!$A$4:$A$9,'Area 2'!Z4:Z10)</f>
        <v>0</v>
      </c>
      <c r="AA3" s="95">
        <f ca="1">LOOKUP($A$3,'Area 2'!$A$4:$A$9,'Area 2'!AA4:AA10)</f>
        <v>0</v>
      </c>
      <c r="AB3" s="95">
        <f ca="1">LOOKUP($A$3,'Area 2'!$A$4:$A$9,'Area 2'!AB4:AB10)</f>
        <v>0</v>
      </c>
      <c r="AC3" s="95">
        <f ca="1">LOOKUP($A$3,'Area 2'!$A$4:$A$9,'Area 2'!AC4:AC10)</f>
        <v>0</v>
      </c>
      <c r="AD3" s="95">
        <f ca="1">LOOKUP($A$3,'Area 2'!$A$4:$A$9,'Area 2'!AD4:AD10)</f>
        <v>0</v>
      </c>
      <c r="AE3" s="95">
        <f ca="1">LOOKUP($A$3,'Area 2'!$A$4:$A$9,'Area 2'!AE4:AE10)</f>
        <v>0</v>
      </c>
      <c r="AF3" s="95">
        <f ca="1">LOOKUP($A$3,'Area 2'!$A$4:$A$9,'Area 2'!AF4:AF10)</f>
        <v>0</v>
      </c>
      <c r="AG3" s="95">
        <f ca="1">LOOKUP($A$3,'Area 2'!$A$4:$A$9,'Area 2'!AG4:AG10)</f>
        <v>0</v>
      </c>
      <c r="AH3" s="95">
        <f ca="1">LOOKUP($A$3,'Area 2'!$A$4:$A$9,'Area 2'!AH4:AH10)</f>
        <v>0</v>
      </c>
      <c r="AI3" s="95">
        <f ca="1">LOOKUP($A$3,'Area 2'!$A$4:$A$9,'Area 2'!AI4:AI10)</f>
        <v>0</v>
      </c>
      <c r="AJ3" s="95">
        <f ca="1">LOOKUP($A$3,'Area 2'!$A$4:$A$9,'Area 2'!AJ4:AJ10)</f>
        <v>0</v>
      </c>
      <c r="AK3" s="95">
        <f ca="1">LOOKUP($A$3,'Area 2'!$A$4:$A$9,'Area 2'!AK4:AK10)</f>
        <v>0</v>
      </c>
      <c r="AL3" s="95">
        <f ca="1">LOOKUP($A$3,'Area 2'!$A$4:$A$9,'Area 2'!AL4:AL10)</f>
        <v>0</v>
      </c>
      <c r="AM3" s="95">
        <f ca="1">LOOKUP($A$3,'Area 2'!$A$4:$A$9,'Area 2'!AM4:AM10)</f>
        <v>0</v>
      </c>
      <c r="AN3" s="95">
        <f ca="1">LOOKUP($A$3,'Area 2'!$A$4:$A$9,'Area 2'!AN4:AN10)</f>
        <v>0</v>
      </c>
      <c r="AO3" s="95">
        <f ca="1">LOOKUP($A$3,'Area 2'!$A$4:$A$9,'Area 2'!AO4:AO10)</f>
        <v>0</v>
      </c>
      <c r="AP3" s="95">
        <f ca="1">LOOKUP($A$3,'Area 2'!$A$4:$A$9,'Area 2'!AP4:AP10)</f>
        <v>0</v>
      </c>
      <c r="AQ3" s="95">
        <f ca="1">LOOKUP($A$3,'Area 2'!$A$4:$A$9,'Area 2'!AQ4:AQ10)</f>
        <v>0</v>
      </c>
      <c r="AR3" s="95">
        <f ca="1">LOOKUP($A$3,'Area 2'!$A$4:$A$9,'Area 2'!AR4:AR10)</f>
        <v>0</v>
      </c>
      <c r="AS3" s="95">
        <f ca="1">LOOKUP($A$3,'Area 2'!$A$4:$A$9,'Area 2'!AS4:AS10)</f>
        <v>0</v>
      </c>
      <c r="AT3" s="95">
        <f ca="1">LOOKUP($A$3,'Area 2'!$A$4:$A$9,'Area 2'!AT4:AT10)</f>
        <v>0</v>
      </c>
      <c r="AU3" s="95">
        <f ca="1">LOOKUP($A$3,'Area 2'!$A$4:$A$9,'Area 2'!AU4:AU10)</f>
        <v>0</v>
      </c>
      <c r="AV3" s="95">
        <f ca="1">LOOKUP($A$3,'Area 2'!$A$4:$A$9,'Area 2'!AV4:AV10)</f>
        <v>0</v>
      </c>
      <c r="AW3" s="95">
        <f ca="1">LOOKUP($A$3,'Area 2'!$A$4:$A$9,'Area 2'!AW4:AW10)</f>
        <v>0</v>
      </c>
    </row>
    <row r="4" spans="1:49">
      <c r="A4">
        <v>1</v>
      </c>
      <c r="B4" t="str">
        <f>B15</f>
        <v>&lt;select from list&gt;</v>
      </c>
    </row>
    <row r="5" spans="1:49">
      <c r="A5">
        <v>2</v>
      </c>
      <c r="B5" t="s">
        <v>3948</v>
      </c>
      <c r="E5" s="95" t="s">
        <v>1736</v>
      </c>
      <c r="F5" t="s">
        <v>3300</v>
      </c>
      <c r="G5" t="s">
        <v>3306</v>
      </c>
      <c r="H5" t="s">
        <v>3311</v>
      </c>
      <c r="I5" t="s">
        <v>141</v>
      </c>
      <c r="J5" t="s">
        <v>148</v>
      </c>
      <c r="K5" t="s">
        <v>152</v>
      </c>
      <c r="L5" t="s">
        <v>212</v>
      </c>
      <c r="M5" t="s">
        <v>216</v>
      </c>
      <c r="N5" t="s">
        <v>220</v>
      </c>
      <c r="O5" t="s">
        <v>224</v>
      </c>
      <c r="P5" t="s">
        <v>228</v>
      </c>
      <c r="Q5" t="s">
        <v>233</v>
      </c>
      <c r="R5" t="s">
        <v>236</v>
      </c>
      <c r="S5" t="s">
        <v>239</v>
      </c>
      <c r="T5" t="s">
        <v>3949</v>
      </c>
      <c r="U5" t="s">
        <v>2171</v>
      </c>
    </row>
    <row r="6" spans="1:49">
      <c r="A6">
        <v>3</v>
      </c>
      <c r="B6" t="s">
        <v>4170</v>
      </c>
      <c r="E6" s="29" t="s">
        <v>3929</v>
      </c>
      <c r="F6" s="95" t="s">
        <v>2174</v>
      </c>
      <c r="G6" s="95" t="s">
        <v>2177</v>
      </c>
      <c r="H6" s="95" t="s">
        <v>910</v>
      </c>
      <c r="I6" s="95" t="s">
        <v>1323</v>
      </c>
      <c r="J6" s="95" t="s">
        <v>1324</v>
      </c>
      <c r="K6" s="95" t="s">
        <v>1325</v>
      </c>
      <c r="L6" s="95" t="s">
        <v>1326</v>
      </c>
      <c r="M6" s="95" t="s">
        <v>1327</v>
      </c>
      <c r="N6" s="95" t="s">
        <v>1328</v>
      </c>
      <c r="O6" s="95" t="s">
        <v>1329</v>
      </c>
      <c r="P6" s="95" t="s">
        <v>1330</v>
      </c>
      <c r="Q6" s="95" t="s">
        <v>1331</v>
      </c>
      <c r="R6" s="95" t="s">
        <v>1332</v>
      </c>
      <c r="S6" s="95" t="s">
        <v>1333</v>
      </c>
      <c r="T6" s="95" t="s">
        <v>3874</v>
      </c>
      <c r="U6" s="95" t="s">
        <v>690</v>
      </c>
      <c r="V6" s="95" t="s">
        <v>692</v>
      </c>
      <c r="W6" s="95" t="s">
        <v>2414</v>
      </c>
      <c r="X6" s="95" t="s">
        <v>2415</v>
      </c>
      <c r="Y6" s="95" t="s">
        <v>2416</v>
      </c>
      <c r="Z6" s="95" t="s">
        <v>2417</v>
      </c>
      <c r="AA6" s="95" t="s">
        <v>2418</v>
      </c>
      <c r="AB6" s="95" t="s">
        <v>2419</v>
      </c>
      <c r="AC6" s="95" t="s">
        <v>2420</v>
      </c>
      <c r="AD6" s="95" t="s">
        <v>2421</v>
      </c>
      <c r="AE6" s="95" t="s">
        <v>2422</v>
      </c>
      <c r="AF6" s="95" t="s">
        <v>2423</v>
      </c>
      <c r="AG6" s="95" t="s">
        <v>2424</v>
      </c>
      <c r="AH6" s="95" t="s">
        <v>2425</v>
      </c>
      <c r="AI6" s="95" t="s">
        <v>2426</v>
      </c>
      <c r="AJ6" s="95" t="s">
        <v>2427</v>
      </c>
      <c r="AK6" s="95" t="s">
        <v>2428</v>
      </c>
      <c r="AL6" s="95" t="s">
        <v>2430</v>
      </c>
      <c r="AM6" s="95" t="s">
        <v>2431</v>
      </c>
      <c r="AN6" s="296" t="s">
        <v>4508</v>
      </c>
    </row>
    <row r="7" spans="1:49">
      <c r="A7">
        <v>4</v>
      </c>
      <c r="B7" t="s">
        <v>4161</v>
      </c>
      <c r="E7" s="95" t="s">
        <v>3657</v>
      </c>
      <c r="F7" s="95" t="s">
        <v>3301</v>
      </c>
      <c r="G7" s="95" t="s">
        <v>3307</v>
      </c>
      <c r="H7" s="95" t="s">
        <v>3312</v>
      </c>
      <c r="I7" s="95" t="s">
        <v>143</v>
      </c>
      <c r="J7" s="95" t="s">
        <v>149</v>
      </c>
      <c r="K7" s="95" t="s">
        <v>209</v>
      </c>
      <c r="L7" t="s">
        <v>140</v>
      </c>
      <c r="M7" t="s">
        <v>147</v>
      </c>
      <c r="N7" s="95" t="s">
        <v>213</v>
      </c>
      <c r="O7" s="95" t="s">
        <v>217</v>
      </c>
      <c r="P7" s="95" t="s">
        <v>221</v>
      </c>
      <c r="Q7" s="95" t="s">
        <v>225</v>
      </c>
      <c r="R7" s="95" t="s">
        <v>229</v>
      </c>
      <c r="S7" s="95" t="s">
        <v>234</v>
      </c>
      <c r="T7" s="95" t="s">
        <v>237</v>
      </c>
      <c r="U7" s="95" t="s">
        <v>241</v>
      </c>
      <c r="V7" s="95" t="s">
        <v>244</v>
      </c>
      <c r="W7" s="95" t="s">
        <v>2169</v>
      </c>
      <c r="X7" s="95" t="s">
        <v>2172</v>
      </c>
      <c r="Y7" s="95" t="s">
        <v>2175</v>
      </c>
      <c r="Z7" s="95" t="s">
        <v>2178</v>
      </c>
      <c r="AA7" s="95" t="s">
        <v>2180</v>
      </c>
      <c r="AB7" s="95" t="s">
        <v>2183</v>
      </c>
      <c r="AC7" s="95" t="s">
        <v>2185</v>
      </c>
      <c r="AD7" s="95" t="s">
        <v>2187</v>
      </c>
      <c r="AE7" s="95" t="s">
        <v>3854</v>
      </c>
      <c r="AF7" s="95" t="s">
        <v>3856</v>
      </c>
      <c r="AG7" s="95" t="s">
        <v>3858</v>
      </c>
      <c r="AH7" s="95" t="s">
        <v>3860</v>
      </c>
      <c r="AI7" s="95" t="s">
        <v>3861</v>
      </c>
      <c r="AJ7" s="95" t="s">
        <v>3863</v>
      </c>
      <c r="AK7" s="95" t="s">
        <v>3865</v>
      </c>
      <c r="AL7" s="95" t="s">
        <v>3867</v>
      </c>
      <c r="AM7" s="95" t="s">
        <v>3869</v>
      </c>
      <c r="AN7" s="95" t="s">
        <v>3871</v>
      </c>
      <c r="AO7" s="95" t="s">
        <v>3873</v>
      </c>
      <c r="AP7" s="95" t="s">
        <v>3875</v>
      </c>
      <c r="AQ7" s="95" t="s">
        <v>3877</v>
      </c>
      <c r="AR7" s="95" t="s">
        <v>687</v>
      </c>
      <c r="AS7" s="95" t="s">
        <v>689</v>
      </c>
      <c r="AT7" s="95" t="s">
        <v>691</v>
      </c>
      <c r="AU7" s="296" t="s">
        <v>2715</v>
      </c>
      <c r="AV7" s="296" t="s">
        <v>546</v>
      </c>
      <c r="AW7" s="296" t="s">
        <v>3310</v>
      </c>
    </row>
    <row r="8" spans="1:49">
      <c r="A8">
        <v>5</v>
      </c>
      <c r="B8" t="s">
        <v>4171</v>
      </c>
      <c r="E8" s="95" t="s">
        <v>1736</v>
      </c>
      <c r="F8" t="s">
        <v>3303</v>
      </c>
      <c r="G8" t="s">
        <v>3309</v>
      </c>
      <c r="H8" t="s">
        <v>139</v>
      </c>
      <c r="I8" t="s">
        <v>146</v>
      </c>
      <c r="J8" t="s">
        <v>150</v>
      </c>
      <c r="K8" t="s">
        <v>210</v>
      </c>
      <c r="L8" t="s">
        <v>214</v>
      </c>
      <c r="M8" t="s">
        <v>218</v>
      </c>
      <c r="N8" t="s">
        <v>222</v>
      </c>
      <c r="O8" t="s">
        <v>226</v>
      </c>
      <c r="P8" t="s">
        <v>230</v>
      </c>
      <c r="Q8" t="s">
        <v>235</v>
      </c>
      <c r="R8" t="s">
        <v>238</v>
      </c>
      <c r="S8" t="s">
        <v>242</v>
      </c>
      <c r="T8" t="s">
        <v>245</v>
      </c>
      <c r="U8" t="s">
        <v>2170</v>
      </c>
      <c r="V8" t="s">
        <v>2173</v>
      </c>
      <c r="W8" t="s">
        <v>2176</v>
      </c>
      <c r="X8" t="s">
        <v>2179</v>
      </c>
      <c r="Y8" t="s">
        <v>2181</v>
      </c>
      <c r="Z8" t="s">
        <v>2314</v>
      </c>
    </row>
    <row r="9" spans="1:49">
      <c r="A9">
        <v>6</v>
      </c>
      <c r="B9" t="s">
        <v>4162</v>
      </c>
      <c r="E9" s="95" t="s">
        <v>1736</v>
      </c>
      <c r="F9" t="s">
        <v>3304</v>
      </c>
      <c r="G9" s="53" t="s">
        <v>151</v>
      </c>
      <c r="H9" s="53" t="s">
        <v>215</v>
      </c>
      <c r="I9" s="53" t="s">
        <v>219</v>
      </c>
      <c r="J9" t="s">
        <v>223</v>
      </c>
      <c r="K9" s="53" t="s">
        <v>4507</v>
      </c>
      <c r="L9" s="53" t="s">
        <v>231</v>
      </c>
      <c r="M9" s="53" t="s">
        <v>2712</v>
      </c>
      <c r="N9" s="53" t="s">
        <v>547</v>
      </c>
    </row>
    <row r="15" spans="1:49">
      <c r="B15" t="str">
        <f>'Lang Drops'!D1</f>
        <v>&lt;select from list&gt;</v>
      </c>
      <c r="E15" t="str">
        <f>B15</f>
        <v>&lt;select from list&gt;</v>
      </c>
      <c r="H15" t="str">
        <f>E15</f>
        <v>&lt;select from list&gt;</v>
      </c>
      <c r="K15" s="95" t="str">
        <f>H15</f>
        <v>&lt;select from list&gt;</v>
      </c>
      <c r="N15" t="str">
        <f>K15</f>
        <v>&lt;select from list&gt;</v>
      </c>
      <c r="R15" t="str">
        <f>N15</f>
        <v>&lt;select from list&gt;</v>
      </c>
    </row>
    <row r="16" spans="1:49">
      <c r="B16" t="s">
        <v>3300</v>
      </c>
      <c r="C16">
        <v>101</v>
      </c>
      <c r="E16" s="296" t="str">
        <f>F1</f>
        <v/>
      </c>
      <c r="F16" s="96">
        <v>201</v>
      </c>
      <c r="H16" t="s">
        <v>2174</v>
      </c>
      <c r="I16">
        <v>118</v>
      </c>
      <c r="K16" s="95" t="s">
        <v>3301</v>
      </c>
      <c r="L16">
        <v>201</v>
      </c>
      <c r="M16" s="97"/>
      <c r="N16" t="s">
        <v>3303</v>
      </c>
      <c r="O16">
        <v>401</v>
      </c>
      <c r="R16" t="s">
        <v>3304</v>
      </c>
      <c r="S16">
        <v>501</v>
      </c>
    </row>
    <row r="17" spans="2:19">
      <c r="B17" t="s">
        <v>3306</v>
      </c>
      <c r="C17">
        <v>102</v>
      </c>
      <c r="E17" s="296" t="str">
        <f ca="1">G1</f>
        <v/>
      </c>
      <c r="F17" s="96">
        <v>202</v>
      </c>
      <c r="H17" t="s">
        <v>2177</v>
      </c>
      <c r="I17">
        <v>119</v>
      </c>
      <c r="K17" s="95" t="s">
        <v>3307</v>
      </c>
      <c r="L17">
        <v>202</v>
      </c>
      <c r="M17" s="98"/>
      <c r="N17" t="s">
        <v>3309</v>
      </c>
      <c r="O17">
        <v>402</v>
      </c>
      <c r="R17" s="53" t="s">
        <v>151</v>
      </c>
      <c r="S17">
        <v>503</v>
      </c>
    </row>
    <row r="18" spans="2:19">
      <c r="B18" t="s">
        <v>3311</v>
      </c>
      <c r="C18">
        <v>103</v>
      </c>
      <c r="E18" s="296" t="str">
        <f>H1</f>
        <v/>
      </c>
      <c r="F18" s="96">
        <v>203</v>
      </c>
      <c r="H18" t="s">
        <v>910</v>
      </c>
      <c r="I18">
        <v>120</v>
      </c>
      <c r="K18" s="95" t="s">
        <v>3312</v>
      </c>
      <c r="L18">
        <v>203</v>
      </c>
      <c r="M18" s="22"/>
      <c r="N18" t="s">
        <v>139</v>
      </c>
      <c r="O18">
        <v>403</v>
      </c>
      <c r="R18" s="53" t="s">
        <v>215</v>
      </c>
      <c r="S18">
        <v>505</v>
      </c>
    </row>
    <row r="19" spans="2:19">
      <c r="B19" t="s">
        <v>141</v>
      </c>
      <c r="C19">
        <v>104</v>
      </c>
      <c r="E19" s="296" t="str">
        <f>I1</f>
        <v/>
      </c>
      <c r="F19" s="96">
        <v>204</v>
      </c>
      <c r="H19" t="s">
        <v>1323</v>
      </c>
      <c r="I19">
        <v>121</v>
      </c>
      <c r="K19" s="95" t="s">
        <v>143</v>
      </c>
      <c r="L19">
        <v>204</v>
      </c>
      <c r="M19" s="22"/>
      <c r="N19" t="s">
        <v>146</v>
      </c>
      <c r="O19">
        <v>404</v>
      </c>
      <c r="R19" s="53" t="s">
        <v>219</v>
      </c>
      <c r="S19">
        <v>506</v>
      </c>
    </row>
    <row r="20" spans="2:19">
      <c r="B20" t="s">
        <v>148</v>
      </c>
      <c r="C20">
        <v>105</v>
      </c>
      <c r="E20" s="296" t="str">
        <f>J1</f>
        <v/>
      </c>
      <c r="F20" s="96">
        <v>205</v>
      </c>
      <c r="H20" t="s">
        <v>1324</v>
      </c>
      <c r="I20">
        <v>122</v>
      </c>
      <c r="K20" s="95" t="s">
        <v>149</v>
      </c>
      <c r="L20">
        <v>205</v>
      </c>
      <c r="M20" s="22"/>
      <c r="N20" t="s">
        <v>150</v>
      </c>
      <c r="O20">
        <v>405</v>
      </c>
      <c r="R20" t="s">
        <v>223</v>
      </c>
      <c r="S20">
        <v>507</v>
      </c>
    </row>
    <row r="21" spans="2:19">
      <c r="B21" t="s">
        <v>152</v>
      </c>
      <c r="C21">
        <v>106</v>
      </c>
      <c r="E21" s="296" t="str">
        <f>K1</f>
        <v/>
      </c>
      <c r="F21" s="96">
        <v>244</v>
      </c>
      <c r="H21" t="s">
        <v>1325</v>
      </c>
      <c r="I21">
        <v>123</v>
      </c>
      <c r="K21" s="95" t="s">
        <v>209</v>
      </c>
      <c r="L21">
        <v>206</v>
      </c>
      <c r="M21" s="22"/>
      <c r="N21" t="s">
        <v>210</v>
      </c>
      <c r="O21">
        <v>406</v>
      </c>
      <c r="R21" s="53" t="s">
        <v>227</v>
      </c>
      <c r="S21">
        <v>508</v>
      </c>
    </row>
    <row r="22" spans="2:19">
      <c r="B22" t="s">
        <v>212</v>
      </c>
      <c r="C22">
        <v>107</v>
      </c>
      <c r="E22" s="296" t="str">
        <f ca="1">L1</f>
        <v/>
      </c>
      <c r="F22" s="96">
        <v>206</v>
      </c>
      <c r="H22" t="s">
        <v>1326</v>
      </c>
      <c r="I22">
        <v>124</v>
      </c>
      <c r="K22" s="296" t="s">
        <v>140</v>
      </c>
      <c r="L22" s="565">
        <v>207</v>
      </c>
      <c r="M22" s="22"/>
      <c r="N22" t="s">
        <v>214</v>
      </c>
      <c r="O22">
        <v>407</v>
      </c>
      <c r="R22" s="53" t="s">
        <v>231</v>
      </c>
      <c r="S22">
        <v>509</v>
      </c>
    </row>
    <row r="23" spans="2:19">
      <c r="B23" t="s">
        <v>216</v>
      </c>
      <c r="C23">
        <v>108</v>
      </c>
      <c r="E23" s="296" t="str">
        <f>M1</f>
        <v/>
      </c>
      <c r="F23" s="96">
        <v>207</v>
      </c>
      <c r="H23" t="s">
        <v>1327</v>
      </c>
      <c r="I23">
        <v>125</v>
      </c>
      <c r="K23" s="296" t="s">
        <v>147</v>
      </c>
      <c r="L23" s="565">
        <v>208</v>
      </c>
      <c r="M23" s="22"/>
      <c r="N23" t="s">
        <v>218</v>
      </c>
      <c r="O23">
        <v>408</v>
      </c>
      <c r="R23" s="53" t="s">
        <v>2712</v>
      </c>
      <c r="S23">
        <v>511</v>
      </c>
    </row>
    <row r="24" spans="2:19">
      <c r="B24" t="s">
        <v>220</v>
      </c>
      <c r="C24">
        <v>109</v>
      </c>
      <c r="E24" s="296" t="str">
        <f>N1</f>
        <v/>
      </c>
      <c r="F24" s="96">
        <v>208</v>
      </c>
      <c r="H24" t="s">
        <v>1328</v>
      </c>
      <c r="I24">
        <v>126</v>
      </c>
      <c r="K24" s="95" t="s">
        <v>213</v>
      </c>
      <c r="L24">
        <v>209</v>
      </c>
      <c r="M24" s="22"/>
      <c r="N24" t="s">
        <v>222</v>
      </c>
      <c r="O24">
        <v>409</v>
      </c>
      <c r="R24" s="53" t="s">
        <v>547</v>
      </c>
      <c r="S24">
        <v>512</v>
      </c>
    </row>
    <row r="25" spans="2:19">
      <c r="B25" t="s">
        <v>224</v>
      </c>
      <c r="C25">
        <v>110</v>
      </c>
      <c r="E25" s="296" t="str">
        <f>O1</f>
        <v/>
      </c>
      <c r="F25" s="96">
        <v>209</v>
      </c>
      <c r="H25" t="s">
        <v>1329</v>
      </c>
      <c r="I25">
        <v>127</v>
      </c>
      <c r="K25" s="95" t="s">
        <v>217</v>
      </c>
      <c r="L25">
        <v>210</v>
      </c>
      <c r="M25" s="22"/>
      <c r="N25" t="s">
        <v>226</v>
      </c>
      <c r="O25">
        <v>410</v>
      </c>
    </row>
    <row r="26" spans="2:19">
      <c r="B26" t="s">
        <v>228</v>
      </c>
      <c r="C26">
        <v>111</v>
      </c>
      <c r="E26" s="296" t="str">
        <f>P1</f>
        <v/>
      </c>
      <c r="F26" s="96">
        <v>210</v>
      </c>
      <c r="H26" t="s">
        <v>1330</v>
      </c>
      <c r="I26">
        <v>128</v>
      </c>
      <c r="K26" s="95" t="s">
        <v>221</v>
      </c>
      <c r="L26">
        <v>211</v>
      </c>
      <c r="M26" s="22"/>
      <c r="N26" t="s">
        <v>230</v>
      </c>
      <c r="O26">
        <v>411</v>
      </c>
    </row>
    <row r="27" spans="2:19">
      <c r="B27" t="s">
        <v>233</v>
      </c>
      <c r="C27">
        <v>112</v>
      </c>
      <c r="E27" s="296" t="str">
        <f>Q1</f>
        <v/>
      </c>
      <c r="F27" s="96">
        <v>211</v>
      </c>
      <c r="H27" t="s">
        <v>1331</v>
      </c>
      <c r="I27">
        <v>129</v>
      </c>
      <c r="K27" s="95" t="s">
        <v>225</v>
      </c>
      <c r="L27">
        <v>212</v>
      </c>
      <c r="M27" s="22"/>
      <c r="N27" t="s">
        <v>235</v>
      </c>
      <c r="O27">
        <v>412</v>
      </c>
    </row>
    <row r="28" spans="2:19">
      <c r="B28" t="s">
        <v>236</v>
      </c>
      <c r="C28">
        <v>113</v>
      </c>
      <c r="E28" s="296" t="str">
        <f>R1</f>
        <v/>
      </c>
      <c r="F28" s="96">
        <v>212</v>
      </c>
      <c r="H28" t="s">
        <v>1332</v>
      </c>
      <c r="I28">
        <v>130</v>
      </c>
      <c r="K28" s="95" t="s">
        <v>229</v>
      </c>
      <c r="L28">
        <v>213</v>
      </c>
      <c r="M28" s="22"/>
      <c r="N28" t="s">
        <v>238</v>
      </c>
      <c r="O28">
        <v>413</v>
      </c>
    </row>
    <row r="29" spans="2:19">
      <c r="B29" t="s">
        <v>239</v>
      </c>
      <c r="C29">
        <v>114</v>
      </c>
      <c r="E29" s="296" t="str">
        <f>S1</f>
        <v/>
      </c>
      <c r="F29" s="96">
        <v>213</v>
      </c>
      <c r="H29" t="s">
        <v>1333</v>
      </c>
      <c r="I29">
        <v>131</v>
      </c>
      <c r="K29" s="95" t="s">
        <v>234</v>
      </c>
      <c r="L29">
        <v>214</v>
      </c>
      <c r="M29" s="22"/>
      <c r="N29" t="s">
        <v>242</v>
      </c>
      <c r="O29">
        <v>414</v>
      </c>
    </row>
    <row r="30" spans="2:19">
      <c r="B30" t="s">
        <v>243</v>
      </c>
      <c r="C30">
        <v>115</v>
      </c>
      <c r="E30" s="296" t="str">
        <f>T1</f>
        <v/>
      </c>
      <c r="F30" s="96">
        <v>214</v>
      </c>
      <c r="H30" t="s">
        <v>3874</v>
      </c>
      <c r="I30">
        <v>132</v>
      </c>
      <c r="K30" s="95" t="s">
        <v>237</v>
      </c>
      <c r="L30">
        <v>215</v>
      </c>
      <c r="M30" s="22"/>
      <c r="N30" t="s">
        <v>245</v>
      </c>
      <c r="O30">
        <v>415</v>
      </c>
    </row>
    <row r="31" spans="2:19">
      <c r="B31" t="s">
        <v>2171</v>
      </c>
      <c r="C31">
        <v>117</v>
      </c>
      <c r="E31" s="296" t="str">
        <f>U1</f>
        <v/>
      </c>
      <c r="F31" s="96">
        <v>215</v>
      </c>
      <c r="H31" t="s">
        <v>690</v>
      </c>
      <c r="I31">
        <v>133</v>
      </c>
      <c r="K31" s="95" t="s">
        <v>241</v>
      </c>
      <c r="L31">
        <v>216</v>
      </c>
      <c r="M31" s="22"/>
      <c r="N31" t="s">
        <v>2170</v>
      </c>
      <c r="O31">
        <v>416</v>
      </c>
    </row>
    <row r="32" spans="2:19">
      <c r="E32" s="296" t="str">
        <f>V1</f>
        <v/>
      </c>
      <c r="F32" s="96">
        <v>216</v>
      </c>
      <c r="H32" t="s">
        <v>692</v>
      </c>
      <c r="I32">
        <v>134</v>
      </c>
      <c r="K32" s="95" t="s">
        <v>244</v>
      </c>
      <c r="L32">
        <v>217</v>
      </c>
      <c r="M32" s="22"/>
      <c r="N32" t="s">
        <v>2173</v>
      </c>
      <c r="O32">
        <v>417</v>
      </c>
    </row>
    <row r="33" spans="1:19">
      <c r="E33" s="296" t="str">
        <f>W1</f>
        <v/>
      </c>
      <c r="F33" s="96">
        <v>217</v>
      </c>
      <c r="H33" t="s">
        <v>2414</v>
      </c>
      <c r="I33">
        <v>135</v>
      </c>
      <c r="K33" s="95" t="s">
        <v>2169</v>
      </c>
      <c r="L33">
        <v>218</v>
      </c>
      <c r="M33" s="22"/>
      <c r="N33" t="s">
        <v>2176</v>
      </c>
      <c r="O33">
        <v>418</v>
      </c>
    </row>
    <row r="34" spans="1:19">
      <c r="E34" s="296" t="str">
        <f ca="1">X1</f>
        <v/>
      </c>
      <c r="F34" s="96">
        <v>218</v>
      </c>
      <c r="H34" t="s">
        <v>2415</v>
      </c>
      <c r="I34">
        <v>136</v>
      </c>
      <c r="K34" s="95" t="s">
        <v>2172</v>
      </c>
      <c r="L34">
        <v>219</v>
      </c>
      <c r="M34" s="22"/>
      <c r="N34" t="s">
        <v>2179</v>
      </c>
      <c r="O34">
        <v>419</v>
      </c>
    </row>
    <row r="35" spans="1:19">
      <c r="E35" s="296" t="str">
        <f ca="1">Y1</f>
        <v/>
      </c>
      <c r="F35" s="96">
        <v>219</v>
      </c>
      <c r="H35" t="s">
        <v>2416</v>
      </c>
      <c r="I35">
        <v>137</v>
      </c>
      <c r="K35" s="95" t="s">
        <v>2175</v>
      </c>
      <c r="L35">
        <v>220</v>
      </c>
      <c r="M35" s="22"/>
      <c r="N35" t="s">
        <v>2181</v>
      </c>
      <c r="O35">
        <v>420</v>
      </c>
    </row>
    <row r="36" spans="1:19">
      <c r="E36" s="296" t="str">
        <f ca="1">Z1</f>
        <v/>
      </c>
      <c r="F36" s="96">
        <v>220</v>
      </c>
      <c r="H36" t="s">
        <v>2417</v>
      </c>
      <c r="I36">
        <v>138</v>
      </c>
      <c r="K36" s="95" t="s">
        <v>2178</v>
      </c>
      <c r="L36">
        <v>221</v>
      </c>
      <c r="M36" s="98"/>
      <c r="N36" t="s">
        <v>2314</v>
      </c>
      <c r="O36">
        <v>421</v>
      </c>
    </row>
    <row r="37" spans="1:19">
      <c r="A37">
        <f>Application!$C$393</f>
        <v>1</v>
      </c>
      <c r="E37" s="296" t="str">
        <f ca="1">AA1</f>
        <v/>
      </c>
      <c r="F37" s="96">
        <v>221</v>
      </c>
      <c r="H37" t="s">
        <v>2418</v>
      </c>
      <c r="I37">
        <v>139</v>
      </c>
      <c r="K37" s="95" t="s">
        <v>2180</v>
      </c>
      <c r="L37">
        <v>222</v>
      </c>
      <c r="M37" s="22"/>
      <c r="O37" s="95"/>
    </row>
    <row r="38" spans="1:19">
      <c r="A38">
        <f>Application!$C$394</f>
        <v>1</v>
      </c>
      <c r="E38" s="296" t="str">
        <f ca="1">AB1</f>
        <v/>
      </c>
      <c r="F38" s="96">
        <v>222</v>
      </c>
      <c r="H38" t="s">
        <v>2419</v>
      </c>
      <c r="I38">
        <v>140</v>
      </c>
      <c r="K38" s="95" t="s">
        <v>2183</v>
      </c>
      <c r="L38">
        <v>223</v>
      </c>
      <c r="M38" s="98"/>
      <c r="O38" s="95"/>
    </row>
    <row r="39" spans="1:19">
      <c r="A39">
        <f>IF(A38=1,0,IF(A37&lt;2,0,IF(A37=2,A38+99,IF(A37=3,A38+116,IF(A37=4,A38+199,IF(A37=5,A38+399,IF(A37=6,A38+499,0)))))))</f>
        <v>0</v>
      </c>
      <c r="E39" s="296" t="str">
        <f ca="1">AC1</f>
        <v/>
      </c>
      <c r="F39" s="96">
        <v>223</v>
      </c>
      <c r="H39" t="s">
        <v>2420</v>
      </c>
      <c r="I39">
        <v>141</v>
      </c>
      <c r="K39" s="95" t="s">
        <v>2185</v>
      </c>
      <c r="L39">
        <v>224</v>
      </c>
      <c r="M39" s="98"/>
    </row>
    <row r="40" spans="1:19">
      <c r="E40" s="296" t="str">
        <f ca="1">AD1</f>
        <v/>
      </c>
      <c r="F40" s="96">
        <v>224</v>
      </c>
      <c r="H40" t="s">
        <v>2421</v>
      </c>
      <c r="I40">
        <v>142</v>
      </c>
      <c r="K40" s="95" t="s">
        <v>2187</v>
      </c>
      <c r="L40">
        <v>225</v>
      </c>
      <c r="M40" s="98"/>
    </row>
    <row r="41" spans="1:19">
      <c r="E41" s="296" t="str">
        <f ca="1">AE1</f>
        <v/>
      </c>
      <c r="F41" s="96">
        <v>242</v>
      </c>
      <c r="H41" t="s">
        <v>2422</v>
      </c>
      <c r="I41">
        <v>143</v>
      </c>
      <c r="K41" s="95" t="s">
        <v>3854</v>
      </c>
      <c r="L41">
        <v>226</v>
      </c>
      <c r="M41" s="22"/>
    </row>
    <row r="42" spans="1:19">
      <c r="E42" s="296" t="str">
        <f ca="1">AF1</f>
        <v/>
      </c>
      <c r="F42" s="96">
        <v>225</v>
      </c>
      <c r="H42" t="s">
        <v>2423</v>
      </c>
      <c r="I42">
        <v>144</v>
      </c>
      <c r="K42" s="95" t="s">
        <v>3856</v>
      </c>
      <c r="L42">
        <v>227</v>
      </c>
      <c r="M42" s="22"/>
      <c r="S42" s="98"/>
    </row>
    <row r="43" spans="1:19">
      <c r="E43" s="296" t="str">
        <f ca="1">AG1</f>
        <v/>
      </c>
      <c r="F43" s="96">
        <v>243</v>
      </c>
      <c r="H43" t="s">
        <v>2424</v>
      </c>
      <c r="I43">
        <v>145</v>
      </c>
      <c r="K43" s="95" t="s">
        <v>3858</v>
      </c>
      <c r="L43">
        <v>228</v>
      </c>
      <c r="M43" s="98"/>
    </row>
    <row r="44" spans="1:19">
      <c r="E44" s="296" t="str">
        <f ca="1">AH1</f>
        <v/>
      </c>
      <c r="F44" s="96">
        <v>226</v>
      </c>
      <c r="H44" t="s">
        <v>2425</v>
      </c>
      <c r="I44">
        <v>146</v>
      </c>
      <c r="K44" s="95" t="s">
        <v>3860</v>
      </c>
      <c r="L44">
        <v>229</v>
      </c>
      <c r="M44" s="98"/>
    </row>
    <row r="45" spans="1:19">
      <c r="E45" s="296" t="str">
        <f ca="1">AI1</f>
        <v/>
      </c>
      <c r="F45" s="96">
        <v>227</v>
      </c>
      <c r="H45" t="s">
        <v>2426</v>
      </c>
      <c r="I45">
        <v>147</v>
      </c>
      <c r="K45" s="95" t="s">
        <v>3861</v>
      </c>
      <c r="L45">
        <v>230</v>
      </c>
      <c r="M45" s="22"/>
    </row>
    <row r="46" spans="1:19">
      <c r="E46" s="296" t="str">
        <f ca="1">AJ1</f>
        <v/>
      </c>
      <c r="F46" s="96">
        <v>228</v>
      </c>
      <c r="H46" t="s">
        <v>2427</v>
      </c>
      <c r="I46">
        <v>148</v>
      </c>
      <c r="K46" s="95" t="s">
        <v>3863</v>
      </c>
      <c r="L46">
        <v>231</v>
      </c>
      <c r="M46" s="98"/>
    </row>
    <row r="47" spans="1:19">
      <c r="E47" s="296" t="str">
        <f ca="1">AK1</f>
        <v/>
      </c>
      <c r="F47" s="96">
        <v>229</v>
      </c>
      <c r="H47" t="s">
        <v>2428</v>
      </c>
      <c r="I47">
        <v>149</v>
      </c>
      <c r="K47" s="95" t="s">
        <v>3865</v>
      </c>
      <c r="L47">
        <v>232</v>
      </c>
      <c r="M47" s="98"/>
    </row>
    <row r="48" spans="1:19">
      <c r="E48" s="296" t="str">
        <f ca="1">AL1</f>
        <v/>
      </c>
      <c r="F48" s="96">
        <v>230</v>
      </c>
      <c r="H48" t="s">
        <v>2430</v>
      </c>
      <c r="I48">
        <v>150</v>
      </c>
      <c r="K48" s="95" t="s">
        <v>3867</v>
      </c>
      <c r="L48">
        <v>233</v>
      </c>
      <c r="M48" s="98"/>
    </row>
    <row r="49" spans="5:15">
      <c r="E49" s="296" t="str">
        <f ca="1">AM1</f>
        <v/>
      </c>
      <c r="F49" s="96">
        <v>231</v>
      </c>
      <c r="H49" t="s">
        <v>2431</v>
      </c>
      <c r="I49">
        <v>151</v>
      </c>
      <c r="K49" s="95" t="s">
        <v>3869</v>
      </c>
      <c r="L49">
        <v>234</v>
      </c>
      <c r="M49" s="98"/>
    </row>
    <row r="50" spans="5:15">
      <c r="E50" s="296" t="str">
        <f ca="1">AN1</f>
        <v/>
      </c>
      <c r="F50" s="96">
        <v>232</v>
      </c>
      <c r="H50" t="s">
        <v>4508</v>
      </c>
      <c r="I50">
        <v>152</v>
      </c>
      <c r="K50" s="95" t="s">
        <v>3871</v>
      </c>
      <c r="L50">
        <v>235</v>
      </c>
      <c r="M50" s="98"/>
    </row>
    <row r="51" spans="5:15">
      <c r="E51" s="296" t="str">
        <f ca="1">AO1</f>
        <v/>
      </c>
      <c r="F51" s="96">
        <v>233</v>
      </c>
      <c r="I51">
        <v>153</v>
      </c>
      <c r="K51" s="95" t="s">
        <v>3873</v>
      </c>
      <c r="L51">
        <v>236</v>
      </c>
      <c r="M51" s="22"/>
      <c r="O51" s="95"/>
    </row>
    <row r="52" spans="5:15">
      <c r="E52" s="296" t="str">
        <f ca="1">AP1</f>
        <v/>
      </c>
      <c r="F52" s="96">
        <v>234</v>
      </c>
      <c r="I52">
        <v>154</v>
      </c>
      <c r="K52" s="95" t="s">
        <v>3875</v>
      </c>
      <c r="L52" s="565">
        <v>237</v>
      </c>
      <c r="M52" s="98"/>
      <c r="O52" s="95"/>
    </row>
    <row r="53" spans="5:15">
      <c r="E53" s="296" t="str">
        <f ca="1">AQ1</f>
        <v/>
      </c>
      <c r="F53" s="96">
        <v>235</v>
      </c>
      <c r="I53">
        <v>155</v>
      </c>
      <c r="K53" s="95" t="s">
        <v>3877</v>
      </c>
      <c r="L53" s="565">
        <v>238</v>
      </c>
      <c r="M53" s="22"/>
      <c r="O53" s="95"/>
    </row>
    <row r="54" spans="5:15">
      <c r="E54" s="296" t="str">
        <f ca="1">AR1</f>
        <v/>
      </c>
      <c r="F54" s="96">
        <v>236</v>
      </c>
      <c r="I54">
        <v>156</v>
      </c>
      <c r="K54" s="95" t="s">
        <v>687</v>
      </c>
      <c r="L54" s="565">
        <v>239</v>
      </c>
      <c r="M54" s="98"/>
      <c r="O54" s="95"/>
    </row>
    <row r="55" spans="5:15">
      <c r="E55" s="296" t="str">
        <f ca="1">AS1</f>
        <v/>
      </c>
      <c r="F55" s="96">
        <v>237</v>
      </c>
      <c r="I55" s="95">
        <v>157</v>
      </c>
      <c r="K55" s="95" t="s">
        <v>689</v>
      </c>
      <c r="L55" s="565">
        <v>240</v>
      </c>
    </row>
    <row r="56" spans="5:15">
      <c r="E56" t="str">
        <f ca="1">AT1</f>
        <v/>
      </c>
      <c r="F56" s="96">
        <v>238</v>
      </c>
      <c r="I56" s="95">
        <v>158</v>
      </c>
      <c r="K56" s="95" t="s">
        <v>691</v>
      </c>
      <c r="L56" s="565">
        <v>241</v>
      </c>
    </row>
    <row r="57" spans="5:15">
      <c r="E57">
        <f t="shared" ref="E57:E59" si="2">AT2</f>
        <v>0</v>
      </c>
      <c r="F57" s="96">
        <v>239</v>
      </c>
      <c r="I57" s="95"/>
      <c r="K57" s="296" t="s">
        <v>2715</v>
      </c>
      <c r="L57">
        <v>242</v>
      </c>
    </row>
    <row r="58" spans="5:15">
      <c r="E58">
        <f t="shared" ca="1" si="2"/>
        <v>0</v>
      </c>
      <c r="F58" s="96">
        <v>240</v>
      </c>
      <c r="K58" s="296" t="s">
        <v>546</v>
      </c>
      <c r="L58">
        <v>243</v>
      </c>
    </row>
    <row r="59" spans="5:15">
      <c r="E59">
        <f t="shared" si="2"/>
        <v>0</v>
      </c>
      <c r="F59" s="96">
        <v>241</v>
      </c>
      <c r="K59" s="296" t="s">
        <v>3310</v>
      </c>
      <c r="L59">
        <v>244</v>
      </c>
    </row>
  </sheetData>
  <sheetProtection password="C620" sheet="1" objects="1" scenarios="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A32" sqref="A32"/>
    </sheetView>
  </sheetViews>
  <sheetFormatPr defaultColWidth="11.4609375" defaultRowHeight="12.45"/>
  <cols>
    <col min="14" max="14" width="11.4609375" style="53"/>
  </cols>
  <sheetData>
    <row r="1" spans="1:14">
      <c r="A1" t="s">
        <v>3291</v>
      </c>
      <c r="D1" t="s">
        <v>3292</v>
      </c>
      <c r="G1" t="s">
        <v>3294</v>
      </c>
      <c r="J1" t="s">
        <v>3295</v>
      </c>
      <c r="M1" t="s">
        <v>3810</v>
      </c>
    </row>
    <row r="2" spans="1:14">
      <c r="A2" s="104" t="s">
        <v>2704</v>
      </c>
      <c r="B2" s="307">
        <v>1</v>
      </c>
      <c r="C2" s="104"/>
      <c r="D2" s="104" t="s">
        <v>2705</v>
      </c>
      <c r="E2" s="307">
        <v>22</v>
      </c>
      <c r="F2" s="104"/>
      <c r="G2" s="104" t="s">
        <v>2706</v>
      </c>
      <c r="H2" s="307">
        <v>52</v>
      </c>
      <c r="I2" s="104"/>
      <c r="J2" s="104" t="s">
        <v>3304</v>
      </c>
      <c r="K2" s="307">
        <v>68</v>
      </c>
      <c r="L2" s="104"/>
      <c r="M2" s="104" t="s">
        <v>2707</v>
      </c>
      <c r="N2" s="217">
        <v>77</v>
      </c>
    </row>
    <row r="3" spans="1:14">
      <c r="A3" s="104" t="s">
        <v>2708</v>
      </c>
      <c r="B3" s="307">
        <v>2</v>
      </c>
      <c r="C3" s="104"/>
      <c r="D3" s="104" t="s">
        <v>3312</v>
      </c>
      <c r="E3" s="307">
        <v>23</v>
      </c>
      <c r="F3" s="104"/>
      <c r="G3" s="104" t="s">
        <v>2709</v>
      </c>
      <c r="H3" s="307">
        <v>53</v>
      </c>
      <c r="I3" s="104"/>
      <c r="J3" s="104" t="s">
        <v>3310</v>
      </c>
      <c r="K3" s="307">
        <v>69</v>
      </c>
      <c r="L3" s="104"/>
      <c r="M3" s="104" t="s">
        <v>2710</v>
      </c>
      <c r="N3" s="217">
        <v>78</v>
      </c>
    </row>
    <row r="4" spans="1:14">
      <c r="A4" s="104" t="s">
        <v>2415</v>
      </c>
      <c r="B4" s="307">
        <v>3</v>
      </c>
      <c r="C4" s="104"/>
      <c r="D4" s="104" t="s">
        <v>2711</v>
      </c>
      <c r="E4" s="307">
        <v>24</v>
      </c>
      <c r="F4" s="104"/>
      <c r="G4" s="104" t="s">
        <v>245</v>
      </c>
      <c r="H4" s="307">
        <v>54</v>
      </c>
      <c r="I4" s="104"/>
      <c r="J4" s="104" t="s">
        <v>2712</v>
      </c>
      <c r="K4" s="307">
        <v>70</v>
      </c>
      <c r="L4" s="104"/>
      <c r="M4" s="104" t="s">
        <v>2713</v>
      </c>
      <c r="N4" s="217">
        <v>79</v>
      </c>
    </row>
    <row r="5" spans="1:14">
      <c r="A5" s="104" t="s">
        <v>2424</v>
      </c>
      <c r="B5" s="307">
        <v>4</v>
      </c>
      <c r="C5" s="104"/>
      <c r="D5" s="104" t="s">
        <v>3310</v>
      </c>
      <c r="E5" s="307">
        <v>25</v>
      </c>
      <c r="F5" s="105"/>
      <c r="G5" s="104" t="s">
        <v>226</v>
      </c>
      <c r="H5" s="307">
        <v>55</v>
      </c>
      <c r="I5" s="104"/>
      <c r="J5" s="104" t="s">
        <v>547</v>
      </c>
      <c r="K5" s="307">
        <v>71</v>
      </c>
      <c r="L5" s="104"/>
      <c r="M5" s="104" t="s">
        <v>2716</v>
      </c>
      <c r="N5" s="217">
        <v>80</v>
      </c>
    </row>
    <row r="6" spans="1:14">
      <c r="A6" s="104" t="s">
        <v>2417</v>
      </c>
      <c r="B6" s="307">
        <v>5</v>
      </c>
      <c r="C6" s="104"/>
      <c r="D6" s="104" t="s">
        <v>209</v>
      </c>
      <c r="E6" s="307">
        <v>26</v>
      </c>
      <c r="F6" s="104"/>
      <c r="G6" s="104" t="s">
        <v>2314</v>
      </c>
      <c r="H6" s="307">
        <v>56</v>
      </c>
      <c r="I6" s="104"/>
      <c r="J6" s="104" t="s">
        <v>151</v>
      </c>
      <c r="K6" s="307">
        <v>72</v>
      </c>
      <c r="L6" s="104"/>
      <c r="M6" s="104" t="s">
        <v>2717</v>
      </c>
      <c r="N6" s="217">
        <v>81</v>
      </c>
    </row>
    <row r="7" spans="1:14">
      <c r="A7" s="104" t="s">
        <v>2718</v>
      </c>
      <c r="B7" s="307">
        <v>6</v>
      </c>
      <c r="C7" s="104"/>
      <c r="D7" s="104" t="s">
        <v>2714</v>
      </c>
      <c r="E7" s="307">
        <v>27</v>
      </c>
      <c r="F7" s="104"/>
      <c r="G7" s="104" t="s">
        <v>230</v>
      </c>
      <c r="H7" s="307">
        <v>57</v>
      </c>
      <c r="I7" s="104"/>
      <c r="J7" s="104" t="s">
        <v>215</v>
      </c>
      <c r="K7" s="307">
        <v>73</v>
      </c>
      <c r="L7" s="104"/>
      <c r="M7" s="104" t="s">
        <v>2719</v>
      </c>
      <c r="N7" s="217">
        <v>82</v>
      </c>
    </row>
    <row r="8" spans="1:14">
      <c r="A8" s="104" t="s">
        <v>2418</v>
      </c>
      <c r="B8" s="307">
        <v>7</v>
      </c>
      <c r="C8" s="104"/>
      <c r="D8" s="104" t="s">
        <v>213</v>
      </c>
      <c r="E8" s="307">
        <v>28</v>
      </c>
      <c r="F8" s="104"/>
      <c r="G8" s="104" t="s">
        <v>218</v>
      </c>
      <c r="H8" s="307">
        <v>58</v>
      </c>
      <c r="I8" s="104"/>
      <c r="J8" s="104" t="s">
        <v>219</v>
      </c>
      <c r="K8" s="307">
        <v>74</v>
      </c>
      <c r="L8" s="104"/>
      <c r="M8" s="104" t="s">
        <v>2720</v>
      </c>
      <c r="N8" s="217">
        <v>83</v>
      </c>
    </row>
    <row r="9" spans="1:14">
      <c r="A9" s="104" t="s">
        <v>2419</v>
      </c>
      <c r="B9" s="307">
        <v>8</v>
      </c>
      <c r="C9" s="104"/>
      <c r="D9" s="104" t="s">
        <v>217</v>
      </c>
      <c r="E9" s="307">
        <v>29</v>
      </c>
      <c r="F9" s="104"/>
      <c r="G9" s="104" t="s">
        <v>2179</v>
      </c>
      <c r="H9" s="307">
        <v>59</v>
      </c>
      <c r="I9" s="104"/>
      <c r="J9" s="104" t="s">
        <v>4516</v>
      </c>
      <c r="K9" s="307">
        <v>75</v>
      </c>
      <c r="M9" s="104" t="s">
        <v>2721</v>
      </c>
      <c r="N9" s="217">
        <v>84</v>
      </c>
    </row>
    <row r="10" spans="1:14">
      <c r="A10" s="104" t="s">
        <v>2423</v>
      </c>
      <c r="B10" s="307">
        <v>9</v>
      </c>
      <c r="C10" s="104"/>
      <c r="D10" s="104" t="s">
        <v>221</v>
      </c>
      <c r="E10" s="307">
        <v>30</v>
      </c>
      <c r="F10" s="104"/>
      <c r="G10" s="104" t="s">
        <v>235</v>
      </c>
      <c r="H10" s="307">
        <v>60</v>
      </c>
      <c r="I10" s="104"/>
      <c r="J10" s="104" t="s">
        <v>231</v>
      </c>
      <c r="K10" s="307">
        <v>76</v>
      </c>
      <c r="M10" s="104" t="s">
        <v>2723</v>
      </c>
      <c r="N10" s="217">
        <v>85</v>
      </c>
    </row>
    <row r="11" spans="1:14">
      <c r="A11" s="104" t="s">
        <v>2724</v>
      </c>
      <c r="B11" s="307">
        <v>10</v>
      </c>
      <c r="C11" s="104"/>
      <c r="D11" s="104" t="s">
        <v>2722</v>
      </c>
      <c r="E11" s="307">
        <v>31</v>
      </c>
      <c r="F11" s="104"/>
      <c r="G11" s="104" t="s">
        <v>2181</v>
      </c>
      <c r="H11" s="307">
        <v>61</v>
      </c>
      <c r="I11" s="104"/>
      <c r="M11" s="104" t="s">
        <v>2725</v>
      </c>
      <c r="N11" s="217">
        <v>86</v>
      </c>
    </row>
    <row r="12" spans="1:14">
      <c r="A12" s="104" t="s">
        <v>2425</v>
      </c>
      <c r="B12" s="307">
        <v>11</v>
      </c>
      <c r="C12" s="104"/>
      <c r="D12" s="104" t="s">
        <v>2169</v>
      </c>
      <c r="E12" s="307">
        <v>32</v>
      </c>
      <c r="F12" s="104"/>
      <c r="G12" s="104" t="s">
        <v>238</v>
      </c>
      <c r="H12" s="307">
        <v>62</v>
      </c>
      <c r="I12" s="104"/>
      <c r="M12" s="104" t="s">
        <v>2727</v>
      </c>
      <c r="N12" s="217">
        <v>87</v>
      </c>
    </row>
    <row r="13" spans="1:14">
      <c r="A13" s="104" t="s">
        <v>2427</v>
      </c>
      <c r="B13" s="307">
        <v>12</v>
      </c>
      <c r="C13" s="104"/>
      <c r="D13" s="104" t="s">
        <v>2726</v>
      </c>
      <c r="E13" s="307">
        <v>33</v>
      </c>
      <c r="F13" s="104"/>
      <c r="G13" s="104" t="s">
        <v>222</v>
      </c>
      <c r="H13" s="307">
        <v>63</v>
      </c>
      <c r="M13" s="104" t="s">
        <v>2728</v>
      </c>
      <c r="N13" s="217">
        <v>88</v>
      </c>
    </row>
    <row r="14" spans="1:14">
      <c r="A14" s="104" t="s">
        <v>2729</v>
      </c>
      <c r="B14" s="307">
        <v>13</v>
      </c>
      <c r="C14" s="104"/>
      <c r="D14" s="104" t="s">
        <v>2178</v>
      </c>
      <c r="E14" s="307">
        <v>34</v>
      </c>
      <c r="F14" s="104"/>
      <c r="G14" t="s">
        <v>3769</v>
      </c>
      <c r="H14" s="307">
        <v>64</v>
      </c>
      <c r="I14" s="104"/>
      <c r="M14" s="104" t="s">
        <v>2730</v>
      </c>
      <c r="N14" s="217">
        <v>89</v>
      </c>
    </row>
    <row r="15" spans="1:14">
      <c r="A15" s="104" t="s">
        <v>2428</v>
      </c>
      <c r="B15" s="307">
        <v>14</v>
      </c>
      <c r="C15" s="104"/>
      <c r="D15" s="104" t="s">
        <v>2180</v>
      </c>
      <c r="E15" s="307">
        <v>35</v>
      </c>
      <c r="F15" s="104"/>
      <c r="G15" s="104" t="s">
        <v>242</v>
      </c>
      <c r="H15" s="307">
        <v>65</v>
      </c>
      <c r="I15" s="104"/>
      <c r="M15" s="104" t="s">
        <v>2483</v>
      </c>
      <c r="N15" s="217">
        <v>90</v>
      </c>
    </row>
    <row r="16" spans="1:14">
      <c r="A16" s="104" t="s">
        <v>2426</v>
      </c>
      <c r="B16" s="307">
        <v>15</v>
      </c>
      <c r="C16" s="104"/>
      <c r="D16" s="104" t="s">
        <v>2183</v>
      </c>
      <c r="E16" s="307">
        <v>36</v>
      </c>
      <c r="F16" s="104"/>
      <c r="G16" s="104" t="s">
        <v>2482</v>
      </c>
      <c r="H16" s="307">
        <v>66</v>
      </c>
      <c r="I16" s="104"/>
      <c r="M16" s="104" t="s">
        <v>2484</v>
      </c>
      <c r="N16" s="217">
        <v>91</v>
      </c>
    </row>
    <row r="17" spans="1:14">
      <c r="A17" s="104" t="s">
        <v>2420</v>
      </c>
      <c r="B17" s="307">
        <v>16</v>
      </c>
      <c r="C17" s="104"/>
      <c r="D17" s="104" t="s">
        <v>2185</v>
      </c>
      <c r="E17" s="307">
        <v>37</v>
      </c>
      <c r="F17" s="104"/>
      <c r="G17" s="104" t="s">
        <v>2431</v>
      </c>
      <c r="H17" s="307">
        <v>67</v>
      </c>
      <c r="M17" s="104" t="s">
        <v>2485</v>
      </c>
      <c r="N17" s="217">
        <v>92</v>
      </c>
    </row>
    <row r="18" spans="1:14">
      <c r="A18" s="104" t="s">
        <v>2421</v>
      </c>
      <c r="B18" s="307">
        <v>17</v>
      </c>
      <c r="C18" s="104"/>
      <c r="D18" s="104" t="s">
        <v>2715</v>
      </c>
      <c r="E18" s="307">
        <v>38</v>
      </c>
      <c r="F18" s="104"/>
      <c r="M18" s="104" t="s">
        <v>2486</v>
      </c>
      <c r="N18" s="217">
        <v>93</v>
      </c>
    </row>
    <row r="19" spans="1:14">
      <c r="A19" s="104" t="s">
        <v>2422</v>
      </c>
      <c r="B19" s="307">
        <v>18</v>
      </c>
      <c r="C19" s="104"/>
      <c r="D19" s="104" t="s">
        <v>2187</v>
      </c>
      <c r="E19" s="307">
        <v>39</v>
      </c>
      <c r="F19" s="104"/>
      <c r="M19" s="104" t="s">
        <v>2487</v>
      </c>
      <c r="N19" s="217">
        <v>94</v>
      </c>
    </row>
    <row r="20" spans="1:14">
      <c r="A20" s="104" t="s">
        <v>1953</v>
      </c>
      <c r="B20" s="307">
        <v>19</v>
      </c>
      <c r="C20" s="104"/>
      <c r="D20" s="104" t="s">
        <v>546</v>
      </c>
      <c r="E20" s="307">
        <v>40</v>
      </c>
      <c r="F20" s="104"/>
      <c r="M20" s="104" t="s">
        <v>4220</v>
      </c>
      <c r="N20" s="217">
        <v>95</v>
      </c>
    </row>
    <row r="21" spans="1:14">
      <c r="A21" s="104" t="s">
        <v>4219</v>
      </c>
      <c r="B21" s="307">
        <v>20</v>
      </c>
      <c r="C21" s="104"/>
      <c r="D21" s="104" t="s">
        <v>3854</v>
      </c>
      <c r="E21" s="307">
        <v>41</v>
      </c>
      <c r="F21" s="104"/>
      <c r="M21" s="104" t="s">
        <v>4222</v>
      </c>
      <c r="N21" s="217">
        <v>96</v>
      </c>
    </row>
    <row r="22" spans="1:14">
      <c r="A22" s="104" t="s">
        <v>4221</v>
      </c>
      <c r="B22" s="307">
        <v>21</v>
      </c>
      <c r="D22" s="104" t="s">
        <v>3856</v>
      </c>
      <c r="E22" s="307">
        <v>42</v>
      </c>
      <c r="F22" s="104"/>
      <c r="M22" s="104" t="s">
        <v>4223</v>
      </c>
      <c r="N22" s="217">
        <v>97</v>
      </c>
    </row>
    <row r="23" spans="1:14">
      <c r="D23" s="104" t="s">
        <v>3858</v>
      </c>
      <c r="E23" s="307">
        <v>43</v>
      </c>
      <c r="F23" s="104"/>
      <c r="M23" s="104" t="s">
        <v>4225</v>
      </c>
      <c r="N23" s="217">
        <v>98</v>
      </c>
    </row>
    <row r="24" spans="1:14">
      <c r="D24" s="104" t="s">
        <v>3860</v>
      </c>
      <c r="E24" s="307">
        <v>44</v>
      </c>
      <c r="F24" s="104"/>
      <c r="M24" s="104" t="s">
        <v>4226</v>
      </c>
      <c r="N24" s="217">
        <v>99</v>
      </c>
    </row>
    <row r="25" spans="1:14">
      <c r="D25" s="104" t="s">
        <v>3865</v>
      </c>
      <c r="E25" s="307">
        <v>45</v>
      </c>
      <c r="F25" s="104"/>
      <c r="M25" s="104" t="s">
        <v>4228</v>
      </c>
      <c r="N25" s="217">
        <v>100</v>
      </c>
    </row>
    <row r="26" spans="1:14">
      <c r="D26" s="104" t="s">
        <v>4224</v>
      </c>
      <c r="E26" s="307">
        <v>46</v>
      </c>
      <c r="F26" s="104"/>
      <c r="M26" s="104" t="s">
        <v>4229</v>
      </c>
      <c r="N26" s="217">
        <v>101</v>
      </c>
    </row>
    <row r="27" spans="1:14">
      <c r="D27" s="104" t="s">
        <v>3869</v>
      </c>
      <c r="E27" s="307">
        <v>47</v>
      </c>
      <c r="F27" s="104"/>
      <c r="M27" s="104" t="s">
        <v>4231</v>
      </c>
      <c r="N27" s="217">
        <v>102</v>
      </c>
    </row>
    <row r="28" spans="1:14">
      <c r="D28" s="104" t="s">
        <v>4227</v>
      </c>
      <c r="E28" s="307">
        <v>48</v>
      </c>
      <c r="F28" s="104"/>
      <c r="M28" s="104" t="s">
        <v>151</v>
      </c>
      <c r="N28" s="217">
        <v>103</v>
      </c>
    </row>
    <row r="29" spans="1:14">
      <c r="D29" s="104" t="s">
        <v>3875</v>
      </c>
      <c r="E29" s="307">
        <v>49</v>
      </c>
      <c r="F29" s="104"/>
      <c r="M29" s="104" t="s">
        <v>4232</v>
      </c>
      <c r="N29" s="217">
        <v>104</v>
      </c>
    </row>
    <row r="30" spans="1:14">
      <c r="D30" s="104" t="s">
        <v>4230</v>
      </c>
      <c r="E30" s="307">
        <v>50</v>
      </c>
      <c r="M30" s="104" t="s">
        <v>4233</v>
      </c>
      <c r="N30" s="217">
        <v>105</v>
      </c>
    </row>
    <row r="31" spans="1:14">
      <c r="A31" t="str">
        <f>IF(Application!C398=1,"X",IF(Application!C398=2,"A",IF(Application!C398=3,"D",IF(Application!C398=4,"G",IF(Application!C398=5,"J","M")))))</f>
        <v>X</v>
      </c>
      <c r="D31" s="104" t="s">
        <v>691</v>
      </c>
      <c r="E31" s="307">
        <v>51</v>
      </c>
      <c r="M31" s="104" t="s">
        <v>4234</v>
      </c>
      <c r="N31" s="217">
        <v>106</v>
      </c>
    </row>
    <row r="32" spans="1:14">
      <c r="A32">
        <f>Application!C400</f>
        <v>1</v>
      </c>
      <c r="M32" s="104" t="s">
        <v>2295</v>
      </c>
      <c r="N32" s="217">
        <v>107</v>
      </c>
    </row>
    <row r="33" spans="1:14">
      <c r="A33" t="str">
        <f>A31&amp;Application!C400</f>
        <v>X1</v>
      </c>
      <c r="M33" s="104" t="s">
        <v>2296</v>
      </c>
      <c r="N33" s="217">
        <v>108</v>
      </c>
    </row>
    <row r="34" spans="1:14">
      <c r="A34">
        <f ca="1">INDIRECT(A33)</f>
        <v>0</v>
      </c>
      <c r="M34" s="104" t="s">
        <v>2297</v>
      </c>
      <c r="N34" s="217">
        <v>109</v>
      </c>
    </row>
    <row r="35" spans="1:14">
      <c r="M35" s="104" t="s">
        <v>2298</v>
      </c>
      <c r="N35" s="217">
        <v>110</v>
      </c>
    </row>
    <row r="36" spans="1:14">
      <c r="M36" s="104" t="s">
        <v>2299</v>
      </c>
      <c r="N36" s="217">
        <v>111</v>
      </c>
    </row>
    <row r="37" spans="1:14">
      <c r="M37" s="104" t="s">
        <v>2300</v>
      </c>
      <c r="N37" s="217">
        <v>112</v>
      </c>
    </row>
    <row r="38" spans="1:14">
      <c r="M38" s="104" t="s">
        <v>2301</v>
      </c>
      <c r="N38" s="217">
        <v>113</v>
      </c>
    </row>
    <row r="39" spans="1:14">
      <c r="M39" s="104" t="s">
        <v>2302</v>
      </c>
      <c r="N39" s="217">
        <v>114</v>
      </c>
    </row>
    <row r="40" spans="1:14">
      <c r="M40" s="104" t="s">
        <v>2303</v>
      </c>
      <c r="N40" s="217">
        <v>115</v>
      </c>
    </row>
    <row r="41" spans="1:14">
      <c r="M41" s="104" t="s">
        <v>2304</v>
      </c>
      <c r="N41" s="217">
        <v>116</v>
      </c>
    </row>
    <row r="42" spans="1:14">
      <c r="M42" s="104" t="s">
        <v>2305</v>
      </c>
      <c r="N42" s="217">
        <v>117</v>
      </c>
    </row>
    <row r="43" spans="1:14">
      <c r="M43" s="104" t="s">
        <v>2306</v>
      </c>
      <c r="N43" s="217">
        <v>118</v>
      </c>
    </row>
    <row r="44" spans="1:14">
      <c r="M44" s="104" t="s">
        <v>2307</v>
      </c>
      <c r="N44" s="217">
        <v>119</v>
      </c>
    </row>
    <row r="45" spans="1:14">
      <c r="M45" s="104" t="s">
        <v>2308</v>
      </c>
      <c r="N45" s="217">
        <v>120</v>
      </c>
    </row>
    <row r="46" spans="1:14">
      <c r="M46" s="104" t="s">
        <v>2309</v>
      </c>
      <c r="N46" s="217">
        <v>121</v>
      </c>
    </row>
    <row r="47" spans="1:14">
      <c r="M47" s="104" t="s">
        <v>2310</v>
      </c>
      <c r="N47" s="217">
        <v>122</v>
      </c>
    </row>
    <row r="48" spans="1:14">
      <c r="M48" s="104" t="s">
        <v>2311</v>
      </c>
      <c r="N48" s="217">
        <v>123</v>
      </c>
    </row>
    <row r="49" spans="13:14">
      <c r="M49" s="104" t="s">
        <v>2312</v>
      </c>
      <c r="N49" s="217">
        <v>124</v>
      </c>
    </row>
    <row r="50" spans="13:14">
      <c r="M50" s="104" t="s">
        <v>2313</v>
      </c>
      <c r="N50" s="217">
        <v>125</v>
      </c>
    </row>
    <row r="51" spans="13:14">
      <c r="M51" s="104" t="s">
        <v>2314</v>
      </c>
      <c r="N51" s="217">
        <v>126</v>
      </c>
    </row>
    <row r="52" spans="13:14">
      <c r="M52" s="104" t="s">
        <v>2315</v>
      </c>
      <c r="N52" s="217">
        <v>127</v>
      </c>
    </row>
    <row r="53" spans="13:14">
      <c r="M53" s="104" t="s">
        <v>2316</v>
      </c>
      <c r="N53" s="217">
        <v>128</v>
      </c>
    </row>
    <row r="54" spans="13:14">
      <c r="M54" s="104" t="s">
        <v>2317</v>
      </c>
      <c r="N54" s="217">
        <v>129</v>
      </c>
    </row>
    <row r="55" spans="13:14">
      <c r="M55" s="104" t="s">
        <v>2318</v>
      </c>
      <c r="N55" s="217">
        <v>130</v>
      </c>
    </row>
    <row r="56" spans="13:14">
      <c r="M56" s="104" t="s">
        <v>2319</v>
      </c>
      <c r="N56" s="217">
        <v>131</v>
      </c>
    </row>
    <row r="57" spans="13:14">
      <c r="M57" s="104" t="s">
        <v>2320</v>
      </c>
      <c r="N57" s="217">
        <v>132</v>
      </c>
    </row>
    <row r="58" spans="13:14">
      <c r="M58" s="104" t="s">
        <v>2321</v>
      </c>
      <c r="N58" s="217">
        <v>133</v>
      </c>
    </row>
    <row r="59" spans="13:14">
      <c r="M59" s="104" t="s">
        <v>2322</v>
      </c>
      <c r="N59" s="217">
        <v>134</v>
      </c>
    </row>
    <row r="60" spans="13:14">
      <c r="M60" s="104" t="s">
        <v>2323</v>
      </c>
      <c r="N60" s="217">
        <v>135</v>
      </c>
    </row>
    <row r="61" spans="13:14">
      <c r="M61" s="104" t="s">
        <v>2324</v>
      </c>
      <c r="N61" s="217">
        <v>136</v>
      </c>
    </row>
    <row r="62" spans="13:14">
      <c r="M62" s="104" t="s">
        <v>2325</v>
      </c>
      <c r="N62" s="217">
        <v>137</v>
      </c>
    </row>
    <row r="63" spans="13:14">
      <c r="M63" s="104" t="s">
        <v>2326</v>
      </c>
      <c r="N63" s="217">
        <v>138</v>
      </c>
    </row>
    <row r="64" spans="13:14">
      <c r="M64" s="104" t="s">
        <v>2327</v>
      </c>
      <c r="N64" s="217">
        <v>139</v>
      </c>
    </row>
    <row r="65" spans="13:14">
      <c r="M65" s="104" t="s">
        <v>2328</v>
      </c>
      <c r="N65" s="217">
        <v>140</v>
      </c>
    </row>
    <row r="66" spans="13:14">
      <c r="M66" s="104" t="s">
        <v>2329</v>
      </c>
      <c r="N66" s="217">
        <v>141</v>
      </c>
    </row>
    <row r="67" spans="13:14">
      <c r="M67" s="104" t="s">
        <v>2330</v>
      </c>
      <c r="N67" s="217">
        <v>142</v>
      </c>
    </row>
    <row r="68" spans="13:14">
      <c r="M68" s="104" t="s">
        <v>2331</v>
      </c>
      <c r="N68" s="217">
        <v>143</v>
      </c>
    </row>
    <row r="69" spans="13:14">
      <c r="M69" s="104" t="s">
        <v>2332</v>
      </c>
      <c r="N69" s="217">
        <v>144</v>
      </c>
    </row>
    <row r="70" spans="13:14">
      <c r="M70" s="104" t="s">
        <v>2333</v>
      </c>
      <c r="N70" s="217">
        <v>145</v>
      </c>
    </row>
    <row r="71" spans="13:14">
      <c r="M71" s="104" t="s">
        <v>2334</v>
      </c>
      <c r="N71" s="217">
        <v>146</v>
      </c>
    </row>
    <row r="72" spans="13:14">
      <c r="M72" s="104" t="s">
        <v>2335</v>
      </c>
      <c r="N72" s="217">
        <v>147</v>
      </c>
    </row>
    <row r="73" spans="13:14">
      <c r="M73" s="104" t="s">
        <v>2336</v>
      </c>
      <c r="N73" s="217">
        <v>148</v>
      </c>
    </row>
    <row r="74" spans="13:14">
      <c r="M74" s="104" t="s">
        <v>1491</v>
      </c>
      <c r="N74" s="217">
        <v>149</v>
      </c>
    </row>
    <row r="75" spans="13:14">
      <c r="M75" s="104" t="s">
        <v>1492</v>
      </c>
      <c r="N75" s="217">
        <v>150</v>
      </c>
    </row>
    <row r="76" spans="13:14">
      <c r="M76" s="104" t="s">
        <v>1493</v>
      </c>
      <c r="N76" s="217">
        <v>151</v>
      </c>
    </row>
    <row r="77" spans="13:14">
      <c r="M77" s="104" t="s">
        <v>1494</v>
      </c>
      <c r="N77" s="217">
        <v>152</v>
      </c>
    </row>
    <row r="78" spans="13:14">
      <c r="M78" s="104" t="s">
        <v>1495</v>
      </c>
      <c r="N78" s="217">
        <v>153</v>
      </c>
    </row>
    <row r="79" spans="13:14">
      <c r="M79" s="104" t="s">
        <v>1496</v>
      </c>
      <c r="N79" s="217">
        <v>154</v>
      </c>
    </row>
    <row r="80" spans="13:14">
      <c r="M80" s="104" t="s">
        <v>1497</v>
      </c>
      <c r="N80" s="217">
        <v>155</v>
      </c>
    </row>
    <row r="81" spans="13:14">
      <c r="M81" s="104" t="s">
        <v>1498</v>
      </c>
      <c r="N81" s="217">
        <v>156</v>
      </c>
    </row>
    <row r="82" spans="13:14">
      <c r="M82" s="104" t="s">
        <v>1499</v>
      </c>
      <c r="N82" s="217">
        <v>157</v>
      </c>
    </row>
    <row r="83" spans="13:14">
      <c r="M83" s="104" t="s">
        <v>912</v>
      </c>
      <c r="N83" s="217">
        <v>158</v>
      </c>
    </row>
    <row r="84" spans="13:14">
      <c r="M84" s="104" t="s">
        <v>913</v>
      </c>
      <c r="N84" s="217">
        <v>159</v>
      </c>
    </row>
    <row r="85" spans="13:14">
      <c r="M85" s="104" t="s">
        <v>914</v>
      </c>
      <c r="N85" s="217">
        <v>160</v>
      </c>
    </row>
    <row r="86" spans="13:14">
      <c r="M86" s="104" t="s">
        <v>915</v>
      </c>
      <c r="N86" s="217">
        <v>161</v>
      </c>
    </row>
    <row r="87" spans="13:14">
      <c r="M87" s="104" t="s">
        <v>916</v>
      </c>
      <c r="N87" s="217">
        <v>162</v>
      </c>
    </row>
    <row r="88" spans="13:14">
      <c r="M88" s="104" t="s">
        <v>917</v>
      </c>
      <c r="N88" s="217">
        <v>163</v>
      </c>
    </row>
    <row r="89" spans="13:14">
      <c r="M89" s="104" t="s">
        <v>4156</v>
      </c>
      <c r="N89" s="217">
        <v>164</v>
      </c>
    </row>
    <row r="90" spans="13:14">
      <c r="M90" s="104" t="s">
        <v>4157</v>
      </c>
      <c r="N90" s="217">
        <v>165</v>
      </c>
    </row>
    <row r="91" spans="13:14">
      <c r="M91" s="104" t="s">
        <v>4158</v>
      </c>
      <c r="N91" s="217">
        <v>166</v>
      </c>
    </row>
    <row r="92" spans="13:14">
      <c r="M92" s="104" t="s">
        <v>4245</v>
      </c>
      <c r="N92" s="217">
        <v>167</v>
      </c>
    </row>
    <row r="93" spans="13:14">
      <c r="M93" s="104" t="s">
        <v>4246</v>
      </c>
      <c r="N93" s="217">
        <v>168</v>
      </c>
    </row>
    <row r="94" spans="13:14">
      <c r="M94" s="104" t="s">
        <v>4247</v>
      </c>
      <c r="N94" s="217">
        <v>169</v>
      </c>
    </row>
    <row r="95" spans="13:14">
      <c r="M95" s="104" t="s">
        <v>4248</v>
      </c>
      <c r="N95" s="217">
        <v>170</v>
      </c>
    </row>
    <row r="96" spans="13:14">
      <c r="M96" s="104" t="s">
        <v>4249</v>
      </c>
      <c r="N96" s="217">
        <v>171</v>
      </c>
    </row>
    <row r="97" spans="13:14">
      <c r="M97" s="104" t="s">
        <v>4250</v>
      </c>
      <c r="N97" s="217">
        <v>172</v>
      </c>
    </row>
    <row r="98" spans="13:14">
      <c r="M98" s="104" t="s">
        <v>1939</v>
      </c>
      <c r="N98" s="217">
        <v>173</v>
      </c>
    </row>
    <row r="99" spans="13:14">
      <c r="M99" s="104" t="s">
        <v>1940</v>
      </c>
      <c r="N99" s="217">
        <v>174</v>
      </c>
    </row>
    <row r="100" spans="13:14">
      <c r="M100" s="104" t="s">
        <v>1941</v>
      </c>
      <c r="N100" s="217">
        <v>175</v>
      </c>
    </row>
    <row r="101" spans="13:14">
      <c r="M101" s="104" t="s">
        <v>1942</v>
      </c>
      <c r="N101" s="217">
        <v>176</v>
      </c>
    </row>
    <row r="102" spans="13:14">
      <c r="M102" s="104" t="s">
        <v>1943</v>
      </c>
      <c r="N102" s="217">
        <v>177</v>
      </c>
    </row>
    <row r="103" spans="13:14">
      <c r="M103" s="104" t="s">
        <v>1944</v>
      </c>
      <c r="N103" s="217">
        <v>178</v>
      </c>
    </row>
    <row r="104" spans="13:14">
      <c r="M104" s="104" t="s">
        <v>1945</v>
      </c>
      <c r="N104" s="217">
        <v>179</v>
      </c>
    </row>
    <row r="105" spans="13:14">
      <c r="M105" s="104" t="s">
        <v>1946</v>
      </c>
      <c r="N105" s="217">
        <v>180</v>
      </c>
    </row>
    <row r="106" spans="13:14">
      <c r="M106" s="104" t="s">
        <v>1947</v>
      </c>
      <c r="N106" s="217">
        <v>181</v>
      </c>
    </row>
    <row r="107" spans="13:14">
      <c r="M107" s="104" t="s">
        <v>1948</v>
      </c>
      <c r="N107" s="217">
        <v>182</v>
      </c>
    </row>
    <row r="108" spans="13:14">
      <c r="M108" s="104" t="s">
        <v>1949</v>
      </c>
      <c r="N108" s="217">
        <v>183</v>
      </c>
    </row>
    <row r="109" spans="13:14">
      <c r="M109" s="104" t="s">
        <v>1950</v>
      </c>
      <c r="N109" s="217">
        <v>184</v>
      </c>
    </row>
    <row r="110" spans="13:14">
      <c r="M110" s="104" t="s">
        <v>1951</v>
      </c>
      <c r="N110" s="217">
        <v>185</v>
      </c>
    </row>
    <row r="111" spans="13:14">
      <c r="M111" s="104" t="s">
        <v>1952</v>
      </c>
      <c r="N111" s="217">
        <v>186</v>
      </c>
    </row>
    <row r="112" spans="13:14">
      <c r="M112" s="104" t="s">
        <v>1953</v>
      </c>
      <c r="N112" s="217">
        <v>187</v>
      </c>
    </row>
    <row r="113" spans="13:14">
      <c r="M113" s="104" t="s">
        <v>1954</v>
      </c>
      <c r="N113" s="217">
        <v>188</v>
      </c>
    </row>
    <row r="114" spans="13:14">
      <c r="M114" s="104" t="s">
        <v>1955</v>
      </c>
      <c r="N114" s="217">
        <v>189</v>
      </c>
    </row>
    <row r="115" spans="13:14">
      <c r="M115" s="104" t="s">
        <v>1956</v>
      </c>
      <c r="N115" s="217">
        <v>190</v>
      </c>
    </row>
    <row r="116" spans="13:14">
      <c r="M116" s="104" t="s">
        <v>1957</v>
      </c>
      <c r="N116" s="217">
        <v>191</v>
      </c>
    </row>
    <row r="117" spans="13:14">
      <c r="M117" s="104" t="s">
        <v>1958</v>
      </c>
      <c r="N117" s="217">
        <v>192</v>
      </c>
    </row>
    <row r="118" spans="13:14">
      <c r="M118" s="104" t="s">
        <v>1959</v>
      </c>
      <c r="N118" s="217">
        <v>193</v>
      </c>
    </row>
    <row r="119" spans="13:14">
      <c r="M119" s="104" t="s">
        <v>1960</v>
      </c>
      <c r="N119" s="217">
        <v>194</v>
      </c>
    </row>
    <row r="120" spans="13:14">
      <c r="M120" s="104" t="s">
        <v>1961</v>
      </c>
      <c r="N120" s="217">
        <v>195</v>
      </c>
    </row>
    <row r="121" spans="13:14">
      <c r="M121" s="104" t="s">
        <v>1962</v>
      </c>
      <c r="N121" s="217">
        <v>196</v>
      </c>
    </row>
    <row r="122" spans="13:14">
      <c r="M122" s="104" t="s">
        <v>1963</v>
      </c>
      <c r="N122" s="217">
        <v>197</v>
      </c>
    </row>
    <row r="123" spans="13:14">
      <c r="M123" s="104" t="s">
        <v>1964</v>
      </c>
      <c r="N123" s="217">
        <v>198</v>
      </c>
    </row>
    <row r="124" spans="13:14">
      <c r="M124" s="104" t="s">
        <v>1965</v>
      </c>
      <c r="N124" s="217">
        <v>199</v>
      </c>
    </row>
    <row r="125" spans="13:14">
      <c r="M125" s="104" t="s">
        <v>1966</v>
      </c>
      <c r="N125" s="217">
        <v>200</v>
      </c>
    </row>
    <row r="126" spans="13:14">
      <c r="M126" s="104" t="s">
        <v>1967</v>
      </c>
      <c r="N126" s="217">
        <v>201</v>
      </c>
    </row>
    <row r="127" spans="13:14">
      <c r="M127" s="104" t="s">
        <v>1968</v>
      </c>
      <c r="N127" s="217">
        <v>202</v>
      </c>
    </row>
    <row r="128" spans="13:14">
      <c r="M128" s="104" t="s">
        <v>1969</v>
      </c>
      <c r="N128" s="217">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I10" sqref="I10"/>
    </sheetView>
  </sheetViews>
  <sheetFormatPr defaultColWidth="11.4609375" defaultRowHeight="12.45"/>
  <sheetData>
    <row r="1" spans="1:201">
      <c r="A1" s="545" t="s">
        <v>5363</v>
      </c>
      <c r="B1" s="566"/>
      <c r="C1" s="566"/>
      <c r="D1" s="566"/>
      <c r="E1" s="566"/>
      <c r="F1" t="str">
        <f>IF(F2=0,"",F2)</f>
        <v/>
      </c>
      <c r="G1" t="str">
        <f>IF(G2=0,"",G2)</f>
        <v/>
      </c>
      <c r="H1" t="str">
        <f t="shared" ref="H1:BS1" si="0">IF(H2=0,"",H2)</f>
        <v/>
      </c>
      <c r="I1" t="str">
        <f t="shared" si="0"/>
        <v/>
      </c>
      <c r="J1" t="str">
        <f t="shared" si="0"/>
        <v/>
      </c>
      <c r="K1" t="str">
        <f t="shared" si="0"/>
        <v/>
      </c>
      <c r="L1" t="str">
        <f t="shared" si="0"/>
        <v/>
      </c>
      <c r="M1" t="str">
        <f t="shared" si="0"/>
        <v/>
      </c>
      <c r="N1" t="str">
        <f t="shared" si="0"/>
        <v/>
      </c>
      <c r="O1" t="str">
        <f t="shared" si="0"/>
        <v/>
      </c>
      <c r="P1" t="str">
        <f t="shared" si="0"/>
        <v/>
      </c>
      <c r="Q1" t="str">
        <f t="shared" si="0"/>
        <v/>
      </c>
      <c r="R1" t="str">
        <f t="shared" si="0"/>
        <v/>
      </c>
      <c r="S1" t="str">
        <f t="shared" si="0"/>
        <v/>
      </c>
      <c r="T1" t="str">
        <f t="shared" si="0"/>
        <v/>
      </c>
      <c r="U1" t="str">
        <f t="shared" si="0"/>
        <v/>
      </c>
      <c r="V1" t="str">
        <f t="shared" si="0"/>
        <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Application!C398</f>
        <v>1</v>
      </c>
      <c r="B2" t="str">
        <f>B11</f>
        <v>&lt;select from list&gt;</v>
      </c>
      <c r="F2">
        <f>LOOKUP($A$2,$A$3:$A$8,F3:F8)</f>
        <v>0</v>
      </c>
      <c r="G2">
        <f t="shared" ref="G2:AJ2" si="2">LOOKUP($A$2,$A$3:$A$8,G3:G8)</f>
        <v>0</v>
      </c>
      <c r="H2">
        <f t="shared" si="2"/>
        <v>0</v>
      </c>
      <c r="I2">
        <f t="shared" si="2"/>
        <v>0</v>
      </c>
      <c r="J2">
        <f t="shared" si="2"/>
        <v>0</v>
      </c>
      <c r="K2">
        <f t="shared" si="2"/>
        <v>0</v>
      </c>
      <c r="L2">
        <f t="shared" si="2"/>
        <v>0</v>
      </c>
      <c r="M2">
        <f t="shared" si="2"/>
        <v>0</v>
      </c>
      <c r="N2">
        <f t="shared" si="2"/>
        <v>0</v>
      </c>
      <c r="O2">
        <f t="shared" si="2"/>
        <v>0</v>
      </c>
      <c r="P2">
        <f t="shared" si="2"/>
        <v>0</v>
      </c>
      <c r="Q2">
        <f t="shared" si="2"/>
        <v>0</v>
      </c>
      <c r="R2">
        <f t="shared" si="2"/>
        <v>0</v>
      </c>
      <c r="S2">
        <f t="shared" si="2"/>
        <v>0</v>
      </c>
      <c r="T2">
        <f t="shared" si="2"/>
        <v>0</v>
      </c>
      <c r="U2">
        <f t="shared" si="2"/>
        <v>0</v>
      </c>
      <c r="V2">
        <f t="shared" si="2"/>
        <v>0</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3929</v>
      </c>
    </row>
    <row r="4" spans="1:201">
      <c r="A4">
        <v>2</v>
      </c>
      <c r="B4" t="s">
        <v>4166</v>
      </c>
      <c r="F4" t="s">
        <v>3929</v>
      </c>
      <c r="G4" t="s">
        <v>2704</v>
      </c>
      <c r="H4" t="s">
        <v>2708</v>
      </c>
      <c r="I4" t="s">
        <v>2415</v>
      </c>
      <c r="J4" t="s">
        <v>2424</v>
      </c>
      <c r="K4" t="s">
        <v>2417</v>
      </c>
      <c r="L4" t="s">
        <v>2718</v>
      </c>
      <c r="M4" t="s">
        <v>2418</v>
      </c>
      <c r="N4" t="s">
        <v>2419</v>
      </c>
      <c r="O4" t="s">
        <v>2423</v>
      </c>
      <c r="P4" s="53" t="s">
        <v>2174</v>
      </c>
      <c r="Q4" t="s">
        <v>2425</v>
      </c>
      <c r="R4" t="s">
        <v>2427</v>
      </c>
      <c r="S4" t="s">
        <v>2729</v>
      </c>
      <c r="T4" t="s">
        <v>2428</v>
      </c>
      <c r="U4" t="s">
        <v>2426</v>
      </c>
      <c r="V4" t="s">
        <v>2420</v>
      </c>
      <c r="W4" t="s">
        <v>2421</v>
      </c>
      <c r="X4" t="s">
        <v>2422</v>
      </c>
      <c r="Y4" s="53" t="s">
        <v>1953</v>
      </c>
      <c r="Z4" t="s">
        <v>4219</v>
      </c>
      <c r="AA4" t="s">
        <v>4221</v>
      </c>
    </row>
    <row r="5" spans="1:201">
      <c r="A5">
        <v>3</v>
      </c>
      <c r="B5" s="53" t="s">
        <v>5544</v>
      </c>
      <c r="F5" t="s">
        <v>3616</v>
      </c>
      <c r="G5" t="s">
        <v>2705</v>
      </c>
      <c r="H5" t="s">
        <v>3312</v>
      </c>
      <c r="I5" t="s">
        <v>2711</v>
      </c>
      <c r="J5" s="53" t="s">
        <v>3310</v>
      </c>
      <c r="K5" t="s">
        <v>209</v>
      </c>
      <c r="L5" t="s">
        <v>2714</v>
      </c>
      <c r="M5" t="s">
        <v>213</v>
      </c>
      <c r="N5" t="s">
        <v>217</v>
      </c>
      <c r="O5" t="s">
        <v>221</v>
      </c>
      <c r="P5" t="s">
        <v>2722</v>
      </c>
      <c r="Q5" t="s">
        <v>2169</v>
      </c>
      <c r="R5" t="s">
        <v>2726</v>
      </c>
      <c r="S5" t="s">
        <v>2178</v>
      </c>
      <c r="T5" t="s">
        <v>2180</v>
      </c>
      <c r="U5" t="s">
        <v>2183</v>
      </c>
      <c r="V5" t="s">
        <v>2185</v>
      </c>
      <c r="W5" s="53" t="s">
        <v>2715</v>
      </c>
      <c r="X5" t="s">
        <v>2187</v>
      </c>
      <c r="Y5" s="53" t="s">
        <v>546</v>
      </c>
      <c r="Z5" t="s">
        <v>3854</v>
      </c>
      <c r="AA5" t="s">
        <v>3856</v>
      </c>
      <c r="AB5" t="s">
        <v>3858</v>
      </c>
      <c r="AC5" t="s">
        <v>3860</v>
      </c>
      <c r="AD5" t="s">
        <v>3865</v>
      </c>
      <c r="AE5" t="s">
        <v>4224</v>
      </c>
      <c r="AF5" t="s">
        <v>3869</v>
      </c>
      <c r="AG5" t="s">
        <v>4227</v>
      </c>
      <c r="AH5" t="s">
        <v>3875</v>
      </c>
      <c r="AI5" t="s">
        <v>4230</v>
      </c>
      <c r="AJ5" t="s">
        <v>691</v>
      </c>
    </row>
    <row r="6" spans="1:201">
      <c r="A6">
        <v>4</v>
      </c>
      <c r="B6" t="s">
        <v>4167</v>
      </c>
      <c r="F6" t="s">
        <v>3929</v>
      </c>
      <c r="G6" t="s">
        <v>2706</v>
      </c>
      <c r="H6" t="s">
        <v>2709</v>
      </c>
      <c r="I6" t="s">
        <v>245</v>
      </c>
      <c r="J6" t="s">
        <v>226</v>
      </c>
      <c r="K6" s="53" t="s">
        <v>2314</v>
      </c>
      <c r="L6" t="s">
        <v>230</v>
      </c>
      <c r="M6" t="s">
        <v>218</v>
      </c>
      <c r="N6" t="s">
        <v>2179</v>
      </c>
      <c r="O6" t="s">
        <v>235</v>
      </c>
      <c r="P6" t="s">
        <v>2181</v>
      </c>
      <c r="Q6" t="s">
        <v>238</v>
      </c>
      <c r="R6" t="s">
        <v>222</v>
      </c>
      <c r="S6" t="s">
        <v>3769</v>
      </c>
      <c r="T6" t="s">
        <v>242</v>
      </c>
      <c r="U6" t="s">
        <v>2482</v>
      </c>
      <c r="V6" t="s">
        <v>2431</v>
      </c>
    </row>
    <row r="7" spans="1:201">
      <c r="A7">
        <v>5</v>
      </c>
      <c r="B7" s="53" t="s">
        <v>5545</v>
      </c>
      <c r="F7" t="s">
        <v>3616</v>
      </c>
      <c r="G7" t="s">
        <v>3304</v>
      </c>
      <c r="H7" t="s">
        <v>3310</v>
      </c>
      <c r="I7" t="s">
        <v>2712</v>
      </c>
      <c r="J7" s="53" t="s">
        <v>547</v>
      </c>
      <c r="K7" s="53" t="s">
        <v>151</v>
      </c>
      <c r="L7" t="s">
        <v>215</v>
      </c>
      <c r="M7" t="s">
        <v>219</v>
      </c>
      <c r="N7" s="53" t="s">
        <v>4516</v>
      </c>
      <c r="O7" t="s">
        <v>231</v>
      </c>
    </row>
    <row r="8" spans="1:201">
      <c r="A8">
        <v>6</v>
      </c>
      <c r="B8" t="s">
        <v>1970</v>
      </c>
      <c r="F8" s="53" t="str">
        <f>'Lang Other'!M21</f>
        <v>Tell us which country &gt;&gt;</v>
      </c>
    </row>
    <row r="10" spans="1:201">
      <c r="I10" s="53"/>
    </row>
    <row r="11" spans="1:201">
      <c r="A11" t="str">
        <f>F1</f>
        <v/>
      </c>
      <c r="B11" t="str">
        <f>'Lang Drops'!D1</f>
        <v>&lt;select from list&gt;</v>
      </c>
      <c r="E11" t="str">
        <f>B11</f>
        <v>&lt;select from list&gt;</v>
      </c>
      <c r="H11" t="str">
        <f>E11</f>
        <v>&lt;select from list&gt;</v>
      </c>
      <c r="K11" t="str">
        <f>E11</f>
        <v>&lt;select from list&gt;</v>
      </c>
      <c r="N11" t="str">
        <f>K11</f>
        <v>&lt;select from list&gt;</v>
      </c>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6"/>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c r="FL11" s="104"/>
      <c r="FM11" s="104"/>
      <c r="FN11" s="104"/>
      <c r="FO11" s="104"/>
      <c r="FP11" s="104"/>
      <c r="FQ11" s="104"/>
      <c r="FR11" s="104"/>
      <c r="FS11" s="104"/>
      <c r="FT11" s="104"/>
      <c r="FU11" s="104"/>
      <c r="FV11" s="104"/>
      <c r="FW11" s="104"/>
      <c r="FX11" s="104"/>
      <c r="FY11" s="104"/>
      <c r="FZ11" s="104"/>
      <c r="GA11" s="104"/>
      <c r="GB11" s="104"/>
      <c r="GC11" s="104"/>
      <c r="GD11" s="104"/>
      <c r="GE11" s="104"/>
      <c r="GF11" s="104"/>
      <c r="GG11" s="104"/>
      <c r="GH11" s="104"/>
      <c r="GI11" s="104"/>
      <c r="GJ11" s="104"/>
      <c r="GK11" s="104"/>
      <c r="GL11" s="104"/>
      <c r="GM11" s="104"/>
      <c r="GN11" s="104"/>
      <c r="GO11" s="104"/>
      <c r="GP11" s="104"/>
      <c r="GQ11" s="104"/>
      <c r="GR11" s="104"/>
      <c r="GS11" s="104"/>
    </row>
    <row r="12" spans="1:201">
      <c r="A12" t="str">
        <f>G1</f>
        <v/>
      </c>
      <c r="B12" s="104" t="s">
        <v>2704</v>
      </c>
      <c r="C12">
        <v>1</v>
      </c>
      <c r="E12" s="104" t="s">
        <v>2705</v>
      </c>
      <c r="F12">
        <v>22</v>
      </c>
      <c r="H12" s="104" t="s">
        <v>2706</v>
      </c>
      <c r="I12">
        <v>52</v>
      </c>
      <c r="K12" s="104" t="s">
        <v>3304</v>
      </c>
      <c r="L12">
        <v>68</v>
      </c>
      <c r="N12" s="104" t="s">
        <v>2707</v>
      </c>
      <c r="O12">
        <v>77</v>
      </c>
    </row>
    <row r="13" spans="1:201">
      <c r="A13" t="str">
        <f>H1</f>
        <v/>
      </c>
      <c r="B13" s="104" t="s">
        <v>2708</v>
      </c>
      <c r="C13">
        <v>2</v>
      </c>
      <c r="E13" s="104" t="s">
        <v>3312</v>
      </c>
      <c r="F13">
        <v>23</v>
      </c>
      <c r="H13" s="104" t="s">
        <v>2709</v>
      </c>
      <c r="I13">
        <v>53</v>
      </c>
      <c r="K13" s="104" t="s">
        <v>3310</v>
      </c>
      <c r="L13">
        <v>69</v>
      </c>
      <c r="N13" s="104" t="s">
        <v>2710</v>
      </c>
      <c r="O13">
        <v>78</v>
      </c>
    </row>
    <row r="14" spans="1:201">
      <c r="A14" t="str">
        <f>I1</f>
        <v/>
      </c>
      <c r="B14" s="104" t="s">
        <v>2415</v>
      </c>
      <c r="C14">
        <v>3</v>
      </c>
      <c r="E14" s="104" t="s">
        <v>2711</v>
      </c>
      <c r="F14">
        <v>24</v>
      </c>
      <c r="H14" s="104" t="s">
        <v>245</v>
      </c>
      <c r="I14">
        <v>54</v>
      </c>
      <c r="K14" s="104" t="s">
        <v>2712</v>
      </c>
      <c r="L14">
        <v>70</v>
      </c>
      <c r="N14" s="104" t="s">
        <v>2713</v>
      </c>
      <c r="O14">
        <v>79</v>
      </c>
    </row>
    <row r="15" spans="1:201">
      <c r="A15" t="str">
        <f>J1</f>
        <v/>
      </c>
      <c r="B15" s="104" t="s">
        <v>2424</v>
      </c>
      <c r="C15">
        <v>4</v>
      </c>
      <c r="E15" s="104" t="s">
        <v>3310</v>
      </c>
      <c r="F15">
        <v>25</v>
      </c>
      <c r="H15" s="104" t="s">
        <v>226</v>
      </c>
      <c r="I15">
        <v>55</v>
      </c>
      <c r="K15" s="104" t="s">
        <v>547</v>
      </c>
      <c r="L15">
        <v>71</v>
      </c>
      <c r="N15" s="104" t="s">
        <v>2716</v>
      </c>
      <c r="O15">
        <v>80</v>
      </c>
    </row>
    <row r="16" spans="1:201">
      <c r="A16" t="str">
        <f>K1</f>
        <v/>
      </c>
      <c r="B16" s="104" t="s">
        <v>2417</v>
      </c>
      <c r="C16">
        <v>5</v>
      </c>
      <c r="E16" s="104" t="s">
        <v>209</v>
      </c>
      <c r="F16">
        <v>26</v>
      </c>
      <c r="H16" s="104" t="s">
        <v>2314</v>
      </c>
      <c r="I16">
        <v>56</v>
      </c>
      <c r="K16" s="104" t="s">
        <v>151</v>
      </c>
      <c r="L16">
        <v>72</v>
      </c>
      <c r="N16" s="104" t="s">
        <v>2717</v>
      </c>
      <c r="O16">
        <v>81</v>
      </c>
    </row>
    <row r="17" spans="1:15">
      <c r="A17" t="str">
        <f>L1</f>
        <v/>
      </c>
      <c r="B17" s="104" t="s">
        <v>2718</v>
      </c>
      <c r="C17">
        <v>6</v>
      </c>
      <c r="E17" s="104" t="s">
        <v>2714</v>
      </c>
      <c r="F17">
        <v>27</v>
      </c>
      <c r="H17" s="104" t="s">
        <v>230</v>
      </c>
      <c r="I17">
        <v>57</v>
      </c>
      <c r="K17" s="104" t="s">
        <v>215</v>
      </c>
      <c r="L17">
        <v>73</v>
      </c>
      <c r="N17" s="104" t="s">
        <v>2719</v>
      </c>
      <c r="O17">
        <v>82</v>
      </c>
    </row>
    <row r="18" spans="1:15">
      <c r="A18" t="str">
        <f>M1</f>
        <v/>
      </c>
      <c r="B18" s="104" t="s">
        <v>2418</v>
      </c>
      <c r="C18">
        <v>7</v>
      </c>
      <c r="E18" s="104" t="s">
        <v>213</v>
      </c>
      <c r="F18">
        <v>28</v>
      </c>
      <c r="H18" s="104" t="s">
        <v>218</v>
      </c>
      <c r="I18">
        <v>58</v>
      </c>
      <c r="K18" s="104" t="s">
        <v>219</v>
      </c>
      <c r="L18">
        <v>74</v>
      </c>
      <c r="N18" s="104" t="s">
        <v>2720</v>
      </c>
      <c r="O18">
        <v>83</v>
      </c>
    </row>
    <row r="19" spans="1:15">
      <c r="A19" t="str">
        <f>N1</f>
        <v/>
      </c>
      <c r="B19" s="104" t="s">
        <v>2419</v>
      </c>
      <c r="C19">
        <v>8</v>
      </c>
      <c r="E19" s="104" t="s">
        <v>217</v>
      </c>
      <c r="F19">
        <v>29</v>
      </c>
      <c r="H19" s="104" t="s">
        <v>2179</v>
      </c>
      <c r="I19">
        <v>59</v>
      </c>
      <c r="K19" s="104" t="s">
        <v>4516</v>
      </c>
      <c r="L19">
        <v>75</v>
      </c>
      <c r="N19" s="104" t="s">
        <v>2721</v>
      </c>
      <c r="O19">
        <v>84</v>
      </c>
    </row>
    <row r="20" spans="1:15">
      <c r="A20" t="str">
        <f>O1</f>
        <v/>
      </c>
      <c r="B20" s="104" t="s">
        <v>2423</v>
      </c>
      <c r="C20">
        <v>9</v>
      </c>
      <c r="E20" s="104" t="s">
        <v>221</v>
      </c>
      <c r="F20">
        <v>30</v>
      </c>
      <c r="H20" s="104" t="s">
        <v>235</v>
      </c>
      <c r="I20">
        <v>60</v>
      </c>
      <c r="K20" s="104" t="s">
        <v>231</v>
      </c>
      <c r="L20">
        <v>76</v>
      </c>
      <c r="N20" s="104" t="s">
        <v>2723</v>
      </c>
      <c r="O20">
        <v>85</v>
      </c>
    </row>
    <row r="21" spans="1:15">
      <c r="A21" t="str">
        <f>P1</f>
        <v/>
      </c>
      <c r="B21" s="104" t="s">
        <v>2174</v>
      </c>
      <c r="C21">
        <v>10</v>
      </c>
      <c r="E21" s="104" t="s">
        <v>2722</v>
      </c>
      <c r="F21">
        <v>31</v>
      </c>
      <c r="H21" s="104" t="s">
        <v>2181</v>
      </c>
      <c r="I21">
        <v>61</v>
      </c>
      <c r="N21" s="104" t="s">
        <v>2725</v>
      </c>
      <c r="O21">
        <v>86</v>
      </c>
    </row>
    <row r="22" spans="1:15">
      <c r="A22" t="str">
        <f>Q1</f>
        <v/>
      </c>
      <c r="B22" s="104" t="s">
        <v>2425</v>
      </c>
      <c r="C22">
        <v>11</v>
      </c>
      <c r="E22" s="104" t="s">
        <v>2169</v>
      </c>
      <c r="F22">
        <v>32</v>
      </c>
      <c r="H22" s="104" t="s">
        <v>238</v>
      </c>
      <c r="I22">
        <v>62</v>
      </c>
      <c r="N22" s="104" t="s">
        <v>2727</v>
      </c>
      <c r="O22">
        <v>87</v>
      </c>
    </row>
    <row r="23" spans="1:15">
      <c r="A23" t="str">
        <f>R1</f>
        <v/>
      </c>
      <c r="B23" s="104" t="s">
        <v>2427</v>
      </c>
      <c r="C23">
        <v>12</v>
      </c>
      <c r="E23" s="104" t="s">
        <v>2726</v>
      </c>
      <c r="F23">
        <v>33</v>
      </c>
      <c r="H23" s="104" t="s">
        <v>222</v>
      </c>
      <c r="I23">
        <v>63</v>
      </c>
      <c r="N23" s="104" t="s">
        <v>2728</v>
      </c>
      <c r="O23">
        <v>88</v>
      </c>
    </row>
    <row r="24" spans="1:15">
      <c r="A24" t="str">
        <f>S1</f>
        <v/>
      </c>
      <c r="B24" s="104" t="s">
        <v>2729</v>
      </c>
      <c r="C24">
        <v>13</v>
      </c>
      <c r="E24" s="104" t="s">
        <v>2178</v>
      </c>
      <c r="F24">
        <v>34</v>
      </c>
      <c r="H24" t="s">
        <v>3769</v>
      </c>
      <c r="I24">
        <v>64</v>
      </c>
      <c r="N24" s="104" t="s">
        <v>2730</v>
      </c>
      <c r="O24">
        <v>89</v>
      </c>
    </row>
    <row r="25" spans="1:15">
      <c r="A25" t="str">
        <f>T1</f>
        <v/>
      </c>
      <c r="B25" s="104" t="s">
        <v>2428</v>
      </c>
      <c r="C25">
        <v>14</v>
      </c>
      <c r="E25" s="104" t="s">
        <v>2180</v>
      </c>
      <c r="F25">
        <v>35</v>
      </c>
      <c r="H25" s="104" t="s">
        <v>242</v>
      </c>
      <c r="I25">
        <v>65</v>
      </c>
      <c r="N25" s="104" t="s">
        <v>2483</v>
      </c>
      <c r="O25">
        <v>90</v>
      </c>
    </row>
    <row r="26" spans="1:15">
      <c r="A26" t="str">
        <f>U1</f>
        <v/>
      </c>
      <c r="B26" s="104" t="s">
        <v>2426</v>
      </c>
      <c r="C26">
        <v>15</v>
      </c>
      <c r="E26" s="104" t="s">
        <v>2183</v>
      </c>
      <c r="F26">
        <v>36</v>
      </c>
      <c r="H26" s="104" t="s">
        <v>2482</v>
      </c>
      <c r="I26">
        <v>66</v>
      </c>
      <c r="N26" s="104" t="s">
        <v>2484</v>
      </c>
      <c r="O26">
        <v>91</v>
      </c>
    </row>
    <row r="27" spans="1:15">
      <c r="A27" t="str">
        <f>V1</f>
        <v/>
      </c>
      <c r="B27" s="104" t="s">
        <v>2420</v>
      </c>
      <c r="C27">
        <v>16</v>
      </c>
      <c r="E27" s="104" t="s">
        <v>2185</v>
      </c>
      <c r="F27">
        <v>37</v>
      </c>
      <c r="H27" s="104" t="s">
        <v>2431</v>
      </c>
      <c r="I27">
        <v>67</v>
      </c>
      <c r="N27" s="104" t="s">
        <v>2485</v>
      </c>
      <c r="O27">
        <v>92</v>
      </c>
    </row>
    <row r="28" spans="1:15">
      <c r="A28" t="str">
        <f>W1</f>
        <v/>
      </c>
      <c r="B28" s="104" t="s">
        <v>2421</v>
      </c>
      <c r="C28">
        <v>17</v>
      </c>
      <c r="E28" s="104" t="s">
        <v>2715</v>
      </c>
      <c r="F28">
        <v>38</v>
      </c>
      <c r="N28" s="104" t="s">
        <v>2486</v>
      </c>
      <c r="O28">
        <v>93</v>
      </c>
    </row>
    <row r="29" spans="1:15">
      <c r="A29" t="str">
        <f>X1</f>
        <v/>
      </c>
      <c r="B29" s="104" t="s">
        <v>2422</v>
      </c>
      <c r="C29">
        <v>18</v>
      </c>
      <c r="E29" s="104" t="s">
        <v>2187</v>
      </c>
      <c r="F29">
        <v>39</v>
      </c>
      <c r="N29" s="104" t="s">
        <v>2487</v>
      </c>
      <c r="O29">
        <v>94</v>
      </c>
    </row>
    <row r="30" spans="1:15">
      <c r="A30" t="str">
        <f>Y1</f>
        <v/>
      </c>
      <c r="B30" s="104" t="s">
        <v>1953</v>
      </c>
      <c r="C30">
        <v>19</v>
      </c>
      <c r="E30" s="104" t="s">
        <v>546</v>
      </c>
      <c r="F30">
        <v>40</v>
      </c>
      <c r="N30" s="104" t="s">
        <v>4220</v>
      </c>
      <c r="O30">
        <v>95</v>
      </c>
    </row>
    <row r="31" spans="1:15">
      <c r="A31" t="str">
        <f>Z1</f>
        <v/>
      </c>
      <c r="B31" s="104" t="s">
        <v>4219</v>
      </c>
      <c r="C31">
        <v>20</v>
      </c>
      <c r="E31" s="104" t="s">
        <v>3854</v>
      </c>
      <c r="F31">
        <v>41</v>
      </c>
      <c r="N31" s="104" t="s">
        <v>4222</v>
      </c>
      <c r="O31">
        <v>96</v>
      </c>
    </row>
    <row r="32" spans="1:15">
      <c r="A32" t="str">
        <f>AA1</f>
        <v/>
      </c>
      <c r="B32" s="104" t="s">
        <v>4221</v>
      </c>
      <c r="C32">
        <v>21</v>
      </c>
      <c r="E32" s="104" t="s">
        <v>3856</v>
      </c>
      <c r="F32">
        <v>42</v>
      </c>
      <c r="N32" s="104" t="s">
        <v>4223</v>
      </c>
      <c r="O32">
        <v>97</v>
      </c>
    </row>
    <row r="33" spans="1:15">
      <c r="A33" t="str">
        <f>AB1</f>
        <v/>
      </c>
      <c r="E33" s="104" t="s">
        <v>3858</v>
      </c>
      <c r="F33">
        <v>43</v>
      </c>
      <c r="N33" s="104" t="s">
        <v>4225</v>
      </c>
      <c r="O33">
        <v>98</v>
      </c>
    </row>
    <row r="34" spans="1:15">
      <c r="A34" t="str">
        <f>AC1</f>
        <v/>
      </c>
      <c r="E34" s="104" t="s">
        <v>3860</v>
      </c>
      <c r="F34">
        <v>44</v>
      </c>
      <c r="N34" s="104" t="s">
        <v>4226</v>
      </c>
      <c r="O34">
        <v>99</v>
      </c>
    </row>
    <row r="35" spans="1:15">
      <c r="A35" t="str">
        <f>AD1</f>
        <v/>
      </c>
      <c r="E35" s="104" t="s">
        <v>3865</v>
      </c>
      <c r="F35">
        <v>45</v>
      </c>
      <c r="N35" s="104" t="s">
        <v>4228</v>
      </c>
      <c r="O35">
        <v>100</v>
      </c>
    </row>
    <row r="36" spans="1:15">
      <c r="A36" t="str">
        <f>AE1</f>
        <v/>
      </c>
      <c r="E36" s="104" t="s">
        <v>4224</v>
      </c>
      <c r="F36">
        <v>46</v>
      </c>
      <c r="N36" s="104" t="s">
        <v>4229</v>
      </c>
      <c r="O36">
        <v>101</v>
      </c>
    </row>
    <row r="37" spans="1:15">
      <c r="A37" t="str">
        <f>AF1</f>
        <v/>
      </c>
      <c r="E37" s="104" t="s">
        <v>3869</v>
      </c>
      <c r="F37">
        <v>47</v>
      </c>
      <c r="N37" s="104" t="s">
        <v>4231</v>
      </c>
      <c r="O37">
        <v>102</v>
      </c>
    </row>
    <row r="38" spans="1:15">
      <c r="A38" t="str">
        <f>AG1</f>
        <v/>
      </c>
      <c r="E38" s="104" t="s">
        <v>4227</v>
      </c>
      <c r="F38">
        <v>48</v>
      </c>
      <c r="N38" s="104" t="s">
        <v>151</v>
      </c>
      <c r="O38">
        <v>103</v>
      </c>
    </row>
    <row r="39" spans="1:15">
      <c r="A39" t="str">
        <f>AI1</f>
        <v/>
      </c>
      <c r="E39" s="104" t="s">
        <v>3875</v>
      </c>
      <c r="F39">
        <v>49</v>
      </c>
      <c r="N39" s="104" t="s">
        <v>4232</v>
      </c>
      <c r="O39">
        <v>104</v>
      </c>
    </row>
    <row r="40" spans="1:15">
      <c r="A40" t="str">
        <f>AJ1</f>
        <v/>
      </c>
      <c r="E40" s="104" t="s">
        <v>4230</v>
      </c>
      <c r="F40">
        <v>50</v>
      </c>
      <c r="N40" s="104" t="s">
        <v>4233</v>
      </c>
      <c r="O40">
        <v>105</v>
      </c>
    </row>
    <row r="41" spans="1:15">
      <c r="A41" t="str">
        <f>AK1</f>
        <v/>
      </c>
      <c r="E41" s="104" t="s">
        <v>691</v>
      </c>
      <c r="F41">
        <v>51</v>
      </c>
      <c r="N41" s="104" t="s">
        <v>4234</v>
      </c>
      <c r="O41">
        <v>106</v>
      </c>
    </row>
    <row r="42" spans="1:15">
      <c r="A42" t="str">
        <f>AL1</f>
        <v/>
      </c>
      <c r="N42" s="104" t="s">
        <v>2295</v>
      </c>
      <c r="O42">
        <v>107</v>
      </c>
    </row>
    <row r="43" spans="1:15">
      <c r="A43" t="str">
        <f>AM1</f>
        <v/>
      </c>
      <c r="N43" s="104" t="s">
        <v>2296</v>
      </c>
      <c r="O43">
        <v>108</v>
      </c>
    </row>
    <row r="44" spans="1:15">
      <c r="A44" t="str">
        <f>AN1</f>
        <v/>
      </c>
      <c r="N44" s="104" t="s">
        <v>2297</v>
      </c>
      <c r="O44">
        <v>109</v>
      </c>
    </row>
    <row r="45" spans="1:15">
      <c r="A45" t="str">
        <f>AO1</f>
        <v/>
      </c>
      <c r="N45" s="104" t="s">
        <v>2298</v>
      </c>
      <c r="O45">
        <v>110</v>
      </c>
    </row>
    <row r="46" spans="1:15">
      <c r="A46" t="str">
        <f>AP1</f>
        <v/>
      </c>
      <c r="N46" s="104" t="s">
        <v>2299</v>
      </c>
      <c r="O46">
        <v>111</v>
      </c>
    </row>
    <row r="47" spans="1:15">
      <c r="A47" t="str">
        <f>AQ1</f>
        <v/>
      </c>
      <c r="N47" s="104" t="s">
        <v>2300</v>
      </c>
      <c r="O47">
        <v>112</v>
      </c>
    </row>
    <row r="48" spans="1:15">
      <c r="A48" t="str">
        <f>AR1</f>
        <v/>
      </c>
      <c r="N48" s="104" t="s">
        <v>2301</v>
      </c>
      <c r="O48">
        <v>113</v>
      </c>
    </row>
    <row r="49" spans="1:15">
      <c r="A49" t="str">
        <f>AS1</f>
        <v/>
      </c>
      <c r="N49" s="104" t="s">
        <v>2302</v>
      </c>
      <c r="O49">
        <v>114</v>
      </c>
    </row>
    <row r="50" spans="1:15">
      <c r="A50" t="str">
        <f>AT1</f>
        <v/>
      </c>
      <c r="N50" s="104" t="s">
        <v>2303</v>
      </c>
      <c r="O50">
        <v>115</v>
      </c>
    </row>
    <row r="51" spans="1:15">
      <c r="A51" t="str">
        <f>AU1</f>
        <v/>
      </c>
      <c r="N51" s="104" t="s">
        <v>2304</v>
      </c>
      <c r="O51">
        <v>116</v>
      </c>
    </row>
    <row r="52" spans="1:15">
      <c r="A52" t="str">
        <f>AV1</f>
        <v/>
      </c>
      <c r="N52" s="104" t="s">
        <v>2305</v>
      </c>
      <c r="O52">
        <v>117</v>
      </c>
    </row>
    <row r="53" spans="1:15">
      <c r="A53" t="str">
        <f>AW1</f>
        <v/>
      </c>
      <c r="N53" s="104" t="s">
        <v>2306</v>
      </c>
      <c r="O53">
        <v>118</v>
      </c>
    </row>
    <row r="54" spans="1:15">
      <c r="A54" t="str">
        <f>AX1</f>
        <v/>
      </c>
      <c r="N54" s="104" t="s">
        <v>2307</v>
      </c>
      <c r="O54">
        <v>119</v>
      </c>
    </row>
    <row r="55" spans="1:15">
      <c r="A55" t="str">
        <f>AY1</f>
        <v/>
      </c>
      <c r="N55" s="104" t="s">
        <v>2308</v>
      </c>
      <c r="O55">
        <v>120</v>
      </c>
    </row>
    <row r="56" spans="1:15">
      <c r="A56" t="str">
        <f>AZ1</f>
        <v/>
      </c>
      <c r="N56" s="104" t="s">
        <v>2309</v>
      </c>
      <c r="O56">
        <v>121</v>
      </c>
    </row>
    <row r="57" spans="1:15">
      <c r="A57" t="str">
        <f>BA1</f>
        <v/>
      </c>
      <c r="N57" s="104" t="s">
        <v>2310</v>
      </c>
      <c r="O57">
        <v>122</v>
      </c>
    </row>
    <row r="58" spans="1:15">
      <c r="A58" t="str">
        <f>BB1</f>
        <v/>
      </c>
      <c r="N58" s="104" t="s">
        <v>2311</v>
      </c>
      <c r="O58">
        <v>123</v>
      </c>
    </row>
    <row r="59" spans="1:15">
      <c r="A59" t="str">
        <f>BC1</f>
        <v/>
      </c>
      <c r="N59" s="104" t="s">
        <v>2312</v>
      </c>
      <c r="O59">
        <v>124</v>
      </c>
    </row>
    <row r="60" spans="1:15">
      <c r="A60" t="str">
        <f>BD1</f>
        <v/>
      </c>
      <c r="N60" s="104" t="s">
        <v>2313</v>
      </c>
      <c r="O60">
        <v>125</v>
      </c>
    </row>
    <row r="61" spans="1:15">
      <c r="A61" t="str">
        <f>BE1</f>
        <v/>
      </c>
      <c r="N61" s="104" t="s">
        <v>2314</v>
      </c>
      <c r="O61">
        <v>126</v>
      </c>
    </row>
    <row r="62" spans="1:15">
      <c r="A62" t="str">
        <f>BF1</f>
        <v/>
      </c>
      <c r="N62" s="104" t="s">
        <v>2315</v>
      </c>
      <c r="O62">
        <v>127</v>
      </c>
    </row>
    <row r="63" spans="1:15">
      <c r="A63" t="str">
        <f>BG1</f>
        <v/>
      </c>
      <c r="N63" s="104" t="s">
        <v>2316</v>
      </c>
      <c r="O63">
        <v>128</v>
      </c>
    </row>
    <row r="64" spans="1:15">
      <c r="A64" t="str">
        <f>BH1</f>
        <v/>
      </c>
      <c r="N64" s="104" t="s">
        <v>2317</v>
      </c>
      <c r="O64">
        <v>129</v>
      </c>
    </row>
    <row r="65" spans="1:15">
      <c r="A65" t="str">
        <f>BI1</f>
        <v/>
      </c>
      <c r="N65" s="104" t="s">
        <v>2318</v>
      </c>
      <c r="O65">
        <v>130</v>
      </c>
    </row>
    <row r="66" spans="1:15">
      <c r="A66" t="str">
        <f>BJ1</f>
        <v/>
      </c>
      <c r="N66" s="104" t="s">
        <v>2319</v>
      </c>
      <c r="O66">
        <v>131</v>
      </c>
    </row>
    <row r="67" spans="1:15">
      <c r="A67" t="str">
        <f>BK1</f>
        <v/>
      </c>
      <c r="N67" s="104" t="s">
        <v>2320</v>
      </c>
      <c r="O67">
        <v>132</v>
      </c>
    </row>
    <row r="68" spans="1:15">
      <c r="A68" t="str">
        <f>BL1</f>
        <v/>
      </c>
      <c r="N68" s="104" t="s">
        <v>2321</v>
      </c>
      <c r="O68">
        <v>133</v>
      </c>
    </row>
    <row r="69" spans="1:15">
      <c r="A69" t="str">
        <f>BM1</f>
        <v/>
      </c>
      <c r="N69" s="104" t="s">
        <v>2322</v>
      </c>
      <c r="O69">
        <v>134</v>
      </c>
    </row>
    <row r="70" spans="1:15">
      <c r="A70" t="str">
        <f>BN1</f>
        <v/>
      </c>
      <c r="N70" s="104" t="s">
        <v>2323</v>
      </c>
      <c r="O70">
        <v>135</v>
      </c>
    </row>
    <row r="71" spans="1:15">
      <c r="A71" t="str">
        <f>BO1</f>
        <v/>
      </c>
      <c r="N71" s="104" t="s">
        <v>2324</v>
      </c>
      <c r="O71">
        <v>136</v>
      </c>
    </row>
    <row r="72" spans="1:15">
      <c r="A72" t="str">
        <f>BP1</f>
        <v/>
      </c>
      <c r="N72" s="104" t="s">
        <v>2325</v>
      </c>
      <c r="O72">
        <v>137</v>
      </c>
    </row>
    <row r="73" spans="1:15">
      <c r="A73" t="str">
        <f>BQ1</f>
        <v/>
      </c>
      <c r="N73" s="104" t="s">
        <v>2326</v>
      </c>
      <c r="O73">
        <v>138</v>
      </c>
    </row>
    <row r="74" spans="1:15">
      <c r="A74" t="str">
        <f>BR1</f>
        <v/>
      </c>
      <c r="N74" s="104" t="s">
        <v>2327</v>
      </c>
      <c r="O74">
        <v>139</v>
      </c>
    </row>
    <row r="75" spans="1:15">
      <c r="A75" t="str">
        <f>BS1</f>
        <v/>
      </c>
      <c r="N75" s="104" t="s">
        <v>2328</v>
      </c>
      <c r="O75">
        <v>140</v>
      </c>
    </row>
    <row r="76" spans="1:15">
      <c r="A76" t="str">
        <f>BT1</f>
        <v/>
      </c>
      <c r="N76" s="104" t="s">
        <v>2329</v>
      </c>
      <c r="O76">
        <v>141</v>
      </c>
    </row>
    <row r="77" spans="1:15">
      <c r="A77" t="str">
        <f>BU1</f>
        <v/>
      </c>
      <c r="N77" s="104" t="s">
        <v>2330</v>
      </c>
      <c r="O77">
        <v>142</v>
      </c>
    </row>
    <row r="78" spans="1:15">
      <c r="A78" t="str">
        <f>BV1</f>
        <v/>
      </c>
      <c r="N78" s="104" t="s">
        <v>2331</v>
      </c>
      <c r="O78">
        <v>143</v>
      </c>
    </row>
    <row r="79" spans="1:15">
      <c r="A79" t="str">
        <f>BW1</f>
        <v/>
      </c>
      <c r="N79" s="104" t="s">
        <v>2332</v>
      </c>
      <c r="O79">
        <v>144</v>
      </c>
    </row>
    <row r="80" spans="1:15">
      <c r="A80" t="str">
        <f>BX1</f>
        <v/>
      </c>
      <c r="N80" s="104" t="s">
        <v>2333</v>
      </c>
      <c r="O80">
        <v>145</v>
      </c>
    </row>
    <row r="81" spans="1:15">
      <c r="A81" t="str">
        <f>BY1</f>
        <v/>
      </c>
      <c r="N81" s="104" t="s">
        <v>2334</v>
      </c>
      <c r="O81">
        <v>146</v>
      </c>
    </row>
    <row r="82" spans="1:15">
      <c r="A82" t="str">
        <f>BZ1</f>
        <v/>
      </c>
      <c r="N82" s="104" t="s">
        <v>2335</v>
      </c>
      <c r="O82">
        <v>147</v>
      </c>
    </row>
    <row r="83" spans="1:15">
      <c r="A83" t="str">
        <f>CA1</f>
        <v/>
      </c>
      <c r="N83" s="104" t="s">
        <v>2336</v>
      </c>
      <c r="O83">
        <v>148</v>
      </c>
    </row>
    <row r="84" spans="1:15">
      <c r="A84" t="str">
        <f>CB1</f>
        <v/>
      </c>
      <c r="N84" s="104" t="s">
        <v>1491</v>
      </c>
      <c r="O84">
        <v>149</v>
      </c>
    </row>
    <row r="85" spans="1:15">
      <c r="A85" t="str">
        <f>CC1</f>
        <v/>
      </c>
      <c r="N85" s="104" t="s">
        <v>1492</v>
      </c>
      <c r="O85">
        <v>150</v>
      </c>
    </row>
    <row r="86" spans="1:15">
      <c r="A86" t="str">
        <f>CD1</f>
        <v/>
      </c>
      <c r="N86" s="104" t="s">
        <v>1493</v>
      </c>
      <c r="O86">
        <v>151</v>
      </c>
    </row>
    <row r="87" spans="1:15">
      <c r="A87" t="str">
        <f>CE1</f>
        <v/>
      </c>
      <c r="N87" s="104" t="s">
        <v>1494</v>
      </c>
      <c r="O87">
        <v>152</v>
      </c>
    </row>
    <row r="88" spans="1:15">
      <c r="A88" t="str">
        <f>CF1</f>
        <v/>
      </c>
      <c r="N88" s="104" t="s">
        <v>1495</v>
      </c>
      <c r="O88">
        <v>153</v>
      </c>
    </row>
    <row r="89" spans="1:15">
      <c r="A89" t="str">
        <f>CG1</f>
        <v/>
      </c>
      <c r="N89" s="104" t="s">
        <v>1496</v>
      </c>
      <c r="O89">
        <v>154</v>
      </c>
    </row>
    <row r="90" spans="1:15">
      <c r="A90" t="str">
        <f>CH1</f>
        <v/>
      </c>
      <c r="N90" s="104" t="s">
        <v>1497</v>
      </c>
      <c r="O90">
        <v>155</v>
      </c>
    </row>
    <row r="91" spans="1:15">
      <c r="A91" t="str">
        <f>CI1</f>
        <v/>
      </c>
      <c r="N91" s="104" t="s">
        <v>1498</v>
      </c>
      <c r="O91">
        <v>156</v>
      </c>
    </row>
    <row r="92" spans="1:15">
      <c r="A92" t="str">
        <f>CJ1</f>
        <v/>
      </c>
      <c r="N92" s="104" t="s">
        <v>1499</v>
      </c>
      <c r="O92">
        <v>157</v>
      </c>
    </row>
    <row r="93" spans="1:15">
      <c r="A93" t="str">
        <f>CK1</f>
        <v/>
      </c>
      <c r="N93" s="104" t="s">
        <v>912</v>
      </c>
      <c r="O93">
        <v>158</v>
      </c>
    </row>
    <row r="94" spans="1:15">
      <c r="A94" t="str">
        <f>CL1</f>
        <v/>
      </c>
      <c r="N94" s="104" t="s">
        <v>913</v>
      </c>
      <c r="O94">
        <v>159</v>
      </c>
    </row>
    <row r="95" spans="1:15">
      <c r="A95" t="str">
        <f>CM1</f>
        <v/>
      </c>
      <c r="N95" s="104" t="s">
        <v>914</v>
      </c>
      <c r="O95">
        <v>160</v>
      </c>
    </row>
    <row r="96" spans="1:15">
      <c r="A96" t="str">
        <f>CN1</f>
        <v/>
      </c>
      <c r="N96" s="104" t="s">
        <v>915</v>
      </c>
      <c r="O96">
        <v>161</v>
      </c>
    </row>
    <row r="97" spans="1:15">
      <c r="A97" t="str">
        <f>CO1</f>
        <v/>
      </c>
      <c r="N97" s="104" t="s">
        <v>916</v>
      </c>
      <c r="O97">
        <v>162</v>
      </c>
    </row>
    <row r="98" spans="1:15">
      <c r="A98" t="str">
        <f>CP1</f>
        <v/>
      </c>
      <c r="N98" s="104" t="s">
        <v>917</v>
      </c>
      <c r="O98">
        <v>163</v>
      </c>
    </row>
    <row r="99" spans="1:15">
      <c r="A99" t="str">
        <f>CQ1</f>
        <v/>
      </c>
      <c r="N99" s="104" t="s">
        <v>4156</v>
      </c>
      <c r="O99">
        <v>164</v>
      </c>
    </row>
    <row r="100" spans="1:15">
      <c r="A100" t="str">
        <f>CR1</f>
        <v/>
      </c>
      <c r="N100" s="104" t="s">
        <v>4157</v>
      </c>
      <c r="O100">
        <v>165</v>
      </c>
    </row>
    <row r="101" spans="1:15">
      <c r="A101" t="str">
        <f>CS1</f>
        <v/>
      </c>
      <c r="N101" s="104" t="s">
        <v>4158</v>
      </c>
      <c r="O101">
        <v>166</v>
      </c>
    </row>
    <row r="102" spans="1:15">
      <c r="A102" t="str">
        <f>CT1</f>
        <v/>
      </c>
      <c r="N102" s="104" t="s">
        <v>4245</v>
      </c>
      <c r="O102">
        <v>167</v>
      </c>
    </row>
    <row r="103" spans="1:15">
      <c r="A103" t="str">
        <f>CU1</f>
        <v/>
      </c>
      <c r="N103" s="104" t="s">
        <v>4246</v>
      </c>
      <c r="O103">
        <v>168</v>
      </c>
    </row>
    <row r="104" spans="1:15">
      <c r="A104" t="str">
        <f>CV1</f>
        <v/>
      </c>
      <c r="N104" s="104" t="s">
        <v>4247</v>
      </c>
      <c r="O104">
        <v>169</v>
      </c>
    </row>
    <row r="105" spans="1:15">
      <c r="A105" t="str">
        <f>CW1</f>
        <v/>
      </c>
      <c r="N105" s="104" t="s">
        <v>4248</v>
      </c>
      <c r="O105">
        <v>170</v>
      </c>
    </row>
    <row r="106" spans="1:15">
      <c r="A106" t="str">
        <f>CX1</f>
        <v/>
      </c>
      <c r="N106" s="104" t="s">
        <v>4249</v>
      </c>
      <c r="O106">
        <v>171</v>
      </c>
    </row>
    <row r="107" spans="1:15">
      <c r="A107" t="str">
        <f>CY1</f>
        <v/>
      </c>
      <c r="N107" s="104" t="s">
        <v>4250</v>
      </c>
      <c r="O107">
        <v>172</v>
      </c>
    </row>
    <row r="108" spans="1:15">
      <c r="A108" t="str">
        <f>CZ1</f>
        <v/>
      </c>
      <c r="N108" s="104" t="s">
        <v>1939</v>
      </c>
      <c r="O108">
        <v>173</v>
      </c>
    </row>
    <row r="109" spans="1:15">
      <c r="A109" t="str">
        <f>DA1</f>
        <v/>
      </c>
      <c r="N109" s="104" t="s">
        <v>1940</v>
      </c>
      <c r="O109">
        <v>174</v>
      </c>
    </row>
    <row r="110" spans="1:15">
      <c r="A110" t="str">
        <f>DB1</f>
        <v/>
      </c>
      <c r="N110" s="104" t="s">
        <v>1941</v>
      </c>
      <c r="O110">
        <v>175</v>
      </c>
    </row>
    <row r="111" spans="1:15">
      <c r="A111" t="str">
        <f>DC1</f>
        <v/>
      </c>
      <c r="N111" s="104" t="s">
        <v>1942</v>
      </c>
      <c r="O111">
        <v>176</v>
      </c>
    </row>
    <row r="112" spans="1:15">
      <c r="A112" t="str">
        <f>DD1</f>
        <v/>
      </c>
      <c r="N112" s="104" t="s">
        <v>1943</v>
      </c>
      <c r="O112">
        <v>177</v>
      </c>
    </row>
    <row r="113" spans="1:15">
      <c r="A113" t="str">
        <f>DE1</f>
        <v/>
      </c>
      <c r="N113" s="104" t="s">
        <v>1944</v>
      </c>
      <c r="O113">
        <v>178</v>
      </c>
    </row>
    <row r="114" spans="1:15">
      <c r="A114" t="str">
        <f>DF1</f>
        <v/>
      </c>
      <c r="N114" s="104" t="s">
        <v>1945</v>
      </c>
      <c r="O114">
        <v>179</v>
      </c>
    </row>
    <row r="115" spans="1:15">
      <c r="A115" t="str">
        <f>DG1</f>
        <v/>
      </c>
      <c r="N115" s="104" t="s">
        <v>1946</v>
      </c>
      <c r="O115">
        <v>180</v>
      </c>
    </row>
    <row r="116" spans="1:15">
      <c r="A116" t="str">
        <f>DH1</f>
        <v/>
      </c>
      <c r="N116" s="104" t="s">
        <v>1947</v>
      </c>
      <c r="O116">
        <v>181</v>
      </c>
    </row>
    <row r="117" spans="1:15">
      <c r="A117" t="str">
        <f>DI1</f>
        <v/>
      </c>
      <c r="N117" s="104" t="s">
        <v>1948</v>
      </c>
      <c r="O117">
        <v>182</v>
      </c>
    </row>
    <row r="118" spans="1:15">
      <c r="A118" t="str">
        <f>DJ1</f>
        <v/>
      </c>
      <c r="N118" s="104" t="s">
        <v>1949</v>
      </c>
      <c r="O118">
        <v>183</v>
      </c>
    </row>
    <row r="119" spans="1:15">
      <c r="A119" t="str">
        <f>DK1</f>
        <v/>
      </c>
      <c r="N119" s="104" t="s">
        <v>1950</v>
      </c>
      <c r="O119">
        <v>184</v>
      </c>
    </row>
    <row r="120" spans="1:15">
      <c r="A120" t="str">
        <f>DL1</f>
        <v/>
      </c>
      <c r="N120" s="104" t="s">
        <v>1951</v>
      </c>
      <c r="O120">
        <v>185</v>
      </c>
    </row>
    <row r="121" spans="1:15">
      <c r="A121" t="str">
        <f>DM1</f>
        <v/>
      </c>
      <c r="N121" s="104" t="s">
        <v>1952</v>
      </c>
      <c r="O121">
        <v>186</v>
      </c>
    </row>
    <row r="122" spans="1:15">
      <c r="A122" t="str">
        <f>DN1</f>
        <v/>
      </c>
      <c r="N122" s="104" t="s">
        <v>1953</v>
      </c>
      <c r="O122">
        <v>187</v>
      </c>
    </row>
    <row r="123" spans="1:15">
      <c r="A123" t="str">
        <f>DO1</f>
        <v/>
      </c>
      <c r="N123" s="104" t="s">
        <v>1954</v>
      </c>
      <c r="O123">
        <v>188</v>
      </c>
    </row>
    <row r="124" spans="1:15">
      <c r="A124" t="str">
        <f>DP1</f>
        <v/>
      </c>
      <c r="N124" s="104" t="s">
        <v>1955</v>
      </c>
      <c r="O124">
        <v>189</v>
      </c>
    </row>
    <row r="125" spans="1:15">
      <c r="A125" t="str">
        <f>DQ1</f>
        <v/>
      </c>
      <c r="N125" s="104" t="s">
        <v>1956</v>
      </c>
      <c r="O125">
        <v>190</v>
      </c>
    </row>
    <row r="126" spans="1:15">
      <c r="A126" t="str">
        <f>DR1</f>
        <v/>
      </c>
      <c r="N126" s="104" t="s">
        <v>1957</v>
      </c>
      <c r="O126">
        <v>191</v>
      </c>
    </row>
    <row r="127" spans="1:15">
      <c r="A127" t="str">
        <f>DS1</f>
        <v/>
      </c>
      <c r="N127" s="104" t="s">
        <v>1958</v>
      </c>
      <c r="O127">
        <v>192</v>
      </c>
    </row>
    <row r="128" spans="1:15">
      <c r="A128" t="str">
        <f>DT1</f>
        <v/>
      </c>
      <c r="N128" s="104" t="s">
        <v>1959</v>
      </c>
      <c r="O128">
        <v>193</v>
      </c>
    </row>
    <row r="129" spans="1:15">
      <c r="A129" t="str">
        <f>DU1</f>
        <v/>
      </c>
      <c r="N129" s="104" t="s">
        <v>1960</v>
      </c>
      <c r="O129">
        <v>194</v>
      </c>
    </row>
    <row r="130" spans="1:15">
      <c r="A130" t="str">
        <f>DV1</f>
        <v/>
      </c>
      <c r="N130" s="104" t="s">
        <v>1961</v>
      </c>
      <c r="O130">
        <v>195</v>
      </c>
    </row>
    <row r="131" spans="1:15">
      <c r="A131" t="str">
        <f>DW1</f>
        <v/>
      </c>
      <c r="N131" s="104" t="s">
        <v>1962</v>
      </c>
      <c r="O131">
        <v>196</v>
      </c>
    </row>
    <row r="132" spans="1:15">
      <c r="A132" t="str">
        <f>DX1</f>
        <v/>
      </c>
      <c r="N132" s="104" t="s">
        <v>1963</v>
      </c>
      <c r="O132">
        <v>197</v>
      </c>
    </row>
    <row r="133" spans="1:15">
      <c r="A133" t="str">
        <f>DY1</f>
        <v/>
      </c>
      <c r="N133" s="104" t="s">
        <v>1964</v>
      </c>
      <c r="O133">
        <v>198</v>
      </c>
    </row>
    <row r="134" spans="1:15">
      <c r="A134" t="str">
        <f>DZ1</f>
        <v/>
      </c>
      <c r="N134" s="104" t="s">
        <v>1965</v>
      </c>
      <c r="O134">
        <v>199</v>
      </c>
    </row>
    <row r="135" spans="1:15">
      <c r="A135" t="str">
        <f>EA1</f>
        <v/>
      </c>
      <c r="N135" s="104" t="s">
        <v>1966</v>
      </c>
      <c r="O135">
        <v>200</v>
      </c>
    </row>
    <row r="136" spans="1:15">
      <c r="A136" t="str">
        <f>EB1</f>
        <v/>
      </c>
      <c r="N136" s="104" t="s">
        <v>1967</v>
      </c>
      <c r="O136">
        <v>201</v>
      </c>
    </row>
    <row r="137" spans="1:15">
      <c r="N137" s="104" t="s">
        <v>1968</v>
      </c>
      <c r="O137">
        <v>202</v>
      </c>
    </row>
    <row r="138" spans="1:15">
      <c r="N138" s="104" t="s">
        <v>1969</v>
      </c>
      <c r="O138">
        <v>203</v>
      </c>
    </row>
  </sheetData>
  <sheetProtection algorithmName="SHA-512" hashValue="7CPzldmywzi+ajLIPCtrmrdp96DkEmzXiVAOj1npJqf0vvglWPqr3cvZOA50QP8Aqbc8O8qb198wbmCVBH5JOw==" saltValue="KQSl8pCl7BFVEmWuMLDVZQ==" spinCount="100000" sheet="1" objects="1" scenarios="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defaultColWidth="9.15234375" defaultRowHeight="12.45"/>
  <cols>
    <col min="1" max="1" width="20.53515625" style="79" bestFit="1" customWidth="1"/>
    <col min="2" max="2" width="35" style="79" bestFit="1" customWidth="1"/>
    <col min="3" max="4" width="4.53515625" style="80" customWidth="1"/>
    <col min="5" max="5" width="6.15234375" style="91" bestFit="1" customWidth="1"/>
    <col min="6" max="6" width="6.15234375" style="91" customWidth="1"/>
    <col min="7" max="7" width="19.4609375" style="79" bestFit="1" customWidth="1"/>
    <col min="8" max="9" width="4.53515625" style="80" customWidth="1"/>
    <col min="10" max="10" width="4.53515625" style="91" customWidth="1"/>
    <col min="11" max="11" width="16.15234375" style="79" bestFit="1" customWidth="1"/>
    <col min="12" max="14" width="4.53515625" style="79" customWidth="1"/>
    <col min="15" max="15" width="16" style="79" bestFit="1" customWidth="1"/>
    <col min="16" max="17" width="4.53515625" style="79" customWidth="1"/>
    <col min="18" max="18" width="4.53515625" style="82" customWidth="1"/>
    <col min="19" max="19" width="18.53515625" style="79" bestFit="1" customWidth="1"/>
    <col min="20" max="20" width="4.53515625" style="79" customWidth="1"/>
    <col min="21" max="21" width="7.53515625" style="79" bestFit="1" customWidth="1"/>
    <col min="22" max="22" width="4.53515625" style="82" customWidth="1"/>
    <col min="23" max="23" width="16.15234375" style="79" bestFit="1" customWidth="1"/>
    <col min="24" max="25" width="4.53515625" style="79" customWidth="1"/>
    <col min="26" max="26" width="4.53515625" style="82" customWidth="1"/>
    <col min="27" max="16384" width="9.15234375" style="79"/>
  </cols>
  <sheetData>
    <row r="1" spans="1:25" s="76" customFormat="1">
      <c r="A1" s="76" t="s">
        <v>2432</v>
      </c>
      <c r="B1" s="896" t="s">
        <v>3291</v>
      </c>
      <c r="C1" s="896"/>
      <c r="D1" s="896"/>
      <c r="E1" s="896"/>
      <c r="F1" s="77"/>
      <c r="G1" s="895" t="s">
        <v>3292</v>
      </c>
      <c r="H1" s="895"/>
      <c r="I1" s="895"/>
      <c r="J1" s="895"/>
      <c r="K1" s="895" t="s">
        <v>3293</v>
      </c>
      <c r="L1" s="895"/>
      <c r="M1" s="895"/>
      <c r="N1" s="895"/>
      <c r="O1" s="896" t="s">
        <v>3294</v>
      </c>
      <c r="P1" s="896"/>
      <c r="Q1" s="896"/>
      <c r="R1" s="896"/>
      <c r="S1" s="895" t="s">
        <v>3295</v>
      </c>
      <c r="T1" s="895"/>
      <c r="U1" s="895"/>
      <c r="V1" s="895"/>
    </row>
    <row r="2" spans="1:25" s="76" customFormat="1">
      <c r="A2" s="79" t="s">
        <v>1736</v>
      </c>
      <c r="C2" s="79"/>
      <c r="D2" s="79"/>
      <c r="E2" s="79"/>
      <c r="F2" s="79"/>
      <c r="H2" s="79"/>
      <c r="I2" s="79"/>
      <c r="J2" s="79"/>
      <c r="L2" s="79"/>
      <c r="M2" s="79"/>
      <c r="N2" s="79"/>
      <c r="P2" s="79"/>
      <c r="Q2" s="79"/>
      <c r="R2" s="79"/>
      <c r="T2" s="78"/>
      <c r="U2" s="78"/>
      <c r="V2" s="78"/>
    </row>
    <row r="3" spans="1:25" s="76" customFormat="1">
      <c r="A3" s="79" t="s">
        <v>2433</v>
      </c>
      <c r="B3" s="78"/>
      <c r="C3" s="78"/>
      <c r="D3" s="78"/>
      <c r="E3" s="78"/>
      <c r="F3" s="78"/>
      <c r="G3" s="78"/>
      <c r="H3" s="78"/>
      <c r="I3" s="78"/>
      <c r="J3" s="78"/>
      <c r="K3" s="78"/>
      <c r="L3" s="78"/>
      <c r="M3" s="78"/>
      <c r="N3" s="78"/>
      <c r="O3" s="78"/>
      <c r="P3" s="78"/>
      <c r="Q3" s="78"/>
      <c r="R3" s="78"/>
      <c r="S3" s="78"/>
      <c r="T3" s="78"/>
      <c r="U3" s="78"/>
      <c r="V3" s="78"/>
    </row>
    <row r="4" spans="1:25">
      <c r="A4" s="79" t="s">
        <v>1733</v>
      </c>
      <c r="B4" s="79" t="s">
        <v>1736</v>
      </c>
      <c r="C4" s="80" t="s">
        <v>3296</v>
      </c>
      <c r="D4" s="80" t="s">
        <v>3297</v>
      </c>
      <c r="E4" s="81" t="s">
        <v>3298</v>
      </c>
      <c r="F4" s="81"/>
      <c r="G4" s="79" t="s">
        <v>1736</v>
      </c>
      <c r="H4" s="80" t="s">
        <v>3296</v>
      </c>
      <c r="I4" s="80" t="s">
        <v>3297</v>
      </c>
      <c r="J4" s="81" t="s">
        <v>3298</v>
      </c>
      <c r="K4" s="79" t="s">
        <v>1736</v>
      </c>
      <c r="L4" s="80" t="s">
        <v>3296</v>
      </c>
      <c r="M4" s="80" t="s">
        <v>3297</v>
      </c>
      <c r="N4" s="81" t="s">
        <v>3298</v>
      </c>
      <c r="O4" s="79" t="s">
        <v>1736</v>
      </c>
      <c r="P4" s="80" t="s">
        <v>3296</v>
      </c>
      <c r="Q4" s="80" t="s">
        <v>3297</v>
      </c>
      <c r="R4" s="81" t="s">
        <v>3298</v>
      </c>
      <c r="S4" s="79" t="s">
        <v>1736</v>
      </c>
      <c r="T4" s="80" t="s">
        <v>3296</v>
      </c>
      <c r="U4" s="80" t="s">
        <v>3297</v>
      </c>
      <c r="V4" s="81" t="s">
        <v>3298</v>
      </c>
    </row>
    <row r="5" spans="1:25">
      <c r="A5" s="79" t="s">
        <v>1734</v>
      </c>
      <c r="B5" s="83" t="s">
        <v>2174</v>
      </c>
      <c r="C5" s="84">
        <v>88</v>
      </c>
      <c r="D5" s="80">
        <v>507</v>
      </c>
      <c r="E5" s="81">
        <f>R43+1</f>
        <v>118</v>
      </c>
      <c r="F5" s="81"/>
      <c r="G5" s="83" t="s">
        <v>3301</v>
      </c>
      <c r="I5" s="80">
        <v>513</v>
      </c>
      <c r="J5" s="81">
        <v>201</v>
      </c>
      <c r="K5" s="83" t="s">
        <v>3302</v>
      </c>
      <c r="L5" s="85">
        <v>95</v>
      </c>
      <c r="M5" s="85"/>
      <c r="N5" s="81">
        <v>301</v>
      </c>
      <c r="O5" s="83" t="s">
        <v>3303</v>
      </c>
      <c r="P5" s="85">
        <v>58</v>
      </c>
      <c r="Q5" s="85">
        <v>551</v>
      </c>
      <c r="R5" s="86">
        <v>401</v>
      </c>
      <c r="S5" s="83" t="s">
        <v>3304</v>
      </c>
      <c r="T5" s="85">
        <v>136</v>
      </c>
      <c r="U5" s="85" t="s">
        <v>3305</v>
      </c>
      <c r="V5" s="86">
        <v>501</v>
      </c>
    </row>
    <row r="6" spans="1:25">
      <c r="A6" s="79" t="s">
        <v>1735</v>
      </c>
      <c r="B6" s="83" t="s">
        <v>2177</v>
      </c>
      <c r="C6" s="80">
        <v>30</v>
      </c>
      <c r="D6" s="80">
        <v>530</v>
      </c>
      <c r="E6" s="81">
        <f>E5+1</f>
        <v>119</v>
      </c>
      <c r="F6" s="81"/>
      <c r="G6" s="83" t="s">
        <v>3307</v>
      </c>
      <c r="H6" s="80">
        <v>130</v>
      </c>
      <c r="I6" s="80">
        <v>553</v>
      </c>
      <c r="J6" s="81">
        <f>J5+1</f>
        <v>202</v>
      </c>
      <c r="K6" s="83" t="s">
        <v>3308</v>
      </c>
      <c r="L6" s="85">
        <v>97</v>
      </c>
      <c r="M6" s="80"/>
      <c r="N6" s="81">
        <f>N5+1</f>
        <v>302</v>
      </c>
      <c r="O6" s="83" t="s">
        <v>3309</v>
      </c>
      <c r="P6" s="85">
        <v>52</v>
      </c>
      <c r="Q6" s="85">
        <v>551</v>
      </c>
      <c r="R6" s="86">
        <f>R5+1</f>
        <v>402</v>
      </c>
      <c r="S6" s="83" t="s">
        <v>3310</v>
      </c>
      <c r="T6" s="85">
        <v>134</v>
      </c>
      <c r="V6" s="86">
        <f>V5+1</f>
        <v>502</v>
      </c>
    </row>
    <row r="7" spans="1:25">
      <c r="B7" s="83" t="s">
        <v>910</v>
      </c>
      <c r="C7" s="85">
        <v>100</v>
      </c>
      <c r="D7" s="80">
        <v>512</v>
      </c>
      <c r="E7" s="81">
        <v>120</v>
      </c>
      <c r="F7" s="81"/>
      <c r="G7" s="83" t="s">
        <v>3312</v>
      </c>
      <c r="H7" s="80">
        <v>28</v>
      </c>
      <c r="I7" s="80">
        <v>528</v>
      </c>
      <c r="J7" s="81">
        <f t="shared" ref="J7:J42" si="0">J6+1</f>
        <v>203</v>
      </c>
      <c r="K7" s="83" t="s">
        <v>3313</v>
      </c>
      <c r="L7" s="85">
        <v>98</v>
      </c>
      <c r="M7" s="80"/>
      <c r="N7" s="81">
        <f>N6+1</f>
        <v>303</v>
      </c>
      <c r="O7" s="83" t="s">
        <v>139</v>
      </c>
      <c r="P7" s="85">
        <v>54</v>
      </c>
      <c r="Q7" s="85">
        <v>551</v>
      </c>
      <c r="R7" s="86">
        <f t="shared" ref="R7:R24" si="1">R6+1</f>
        <v>403</v>
      </c>
      <c r="S7" s="83" t="s">
        <v>140</v>
      </c>
      <c r="T7" s="85">
        <v>47</v>
      </c>
      <c r="V7" s="86">
        <f t="shared" ref="V7:V12" si="2">V6+1</f>
        <v>503</v>
      </c>
    </row>
    <row r="8" spans="1:25">
      <c r="B8" s="83" t="s">
        <v>2182</v>
      </c>
      <c r="C8" s="85">
        <v>101</v>
      </c>
      <c r="D8" s="80">
        <v>512</v>
      </c>
      <c r="E8" s="81">
        <v>121</v>
      </c>
      <c r="F8" s="81"/>
      <c r="G8" s="83" t="s">
        <v>143</v>
      </c>
      <c r="H8" s="85">
        <v>76</v>
      </c>
      <c r="I8" s="80">
        <v>576</v>
      </c>
      <c r="J8" s="81">
        <f t="shared" si="0"/>
        <v>204</v>
      </c>
      <c r="K8" s="83" t="s">
        <v>144</v>
      </c>
      <c r="L8" s="85">
        <v>99</v>
      </c>
      <c r="M8" s="80"/>
      <c r="N8" s="81">
        <f>N7+1</f>
        <v>304</v>
      </c>
      <c r="O8" s="83" t="s">
        <v>146</v>
      </c>
      <c r="P8" s="85">
        <v>57</v>
      </c>
      <c r="Q8" s="85">
        <v>551</v>
      </c>
      <c r="R8" s="86">
        <f t="shared" si="1"/>
        <v>404</v>
      </c>
      <c r="S8" s="83" t="s">
        <v>147</v>
      </c>
      <c r="V8" s="86">
        <f t="shared" si="2"/>
        <v>504</v>
      </c>
    </row>
    <row r="9" spans="1:25">
      <c r="B9" s="83" t="s">
        <v>2184</v>
      </c>
      <c r="C9" s="85">
        <v>103</v>
      </c>
      <c r="D9" s="80">
        <v>512</v>
      </c>
      <c r="E9" s="81">
        <v>122</v>
      </c>
      <c r="F9" s="81"/>
      <c r="G9" s="83" t="s">
        <v>149</v>
      </c>
      <c r="H9" s="85">
        <v>76</v>
      </c>
      <c r="I9" s="80">
        <v>576</v>
      </c>
      <c r="J9" s="81">
        <f t="shared" si="0"/>
        <v>205</v>
      </c>
      <c r="N9" s="82"/>
      <c r="O9" s="83" t="s">
        <v>150</v>
      </c>
      <c r="P9" s="85">
        <v>51</v>
      </c>
      <c r="Q9" s="85">
        <v>551</v>
      </c>
      <c r="R9" s="86">
        <f t="shared" si="1"/>
        <v>405</v>
      </c>
      <c r="S9" s="83" t="s">
        <v>151</v>
      </c>
      <c r="T9" s="80">
        <v>133</v>
      </c>
      <c r="U9" s="85">
        <v>533</v>
      </c>
      <c r="V9" s="86">
        <f t="shared" si="2"/>
        <v>505</v>
      </c>
    </row>
    <row r="10" spans="1:25">
      <c r="B10" s="83" t="s">
        <v>2186</v>
      </c>
      <c r="C10" s="85">
        <v>105</v>
      </c>
      <c r="D10" s="80">
        <v>512</v>
      </c>
      <c r="E10" s="81">
        <v>123</v>
      </c>
      <c r="F10" s="81"/>
      <c r="G10" s="83" t="s">
        <v>209</v>
      </c>
      <c r="I10" s="85">
        <v>548</v>
      </c>
      <c r="J10" s="81">
        <f t="shared" si="0"/>
        <v>206</v>
      </c>
      <c r="N10" s="82"/>
      <c r="O10" s="83" t="s">
        <v>210</v>
      </c>
      <c r="P10" s="85">
        <v>53</v>
      </c>
      <c r="Q10" s="85">
        <v>551</v>
      </c>
      <c r="R10" s="86">
        <f t="shared" si="1"/>
        <v>406</v>
      </c>
      <c r="S10" s="83" t="s">
        <v>211</v>
      </c>
      <c r="T10" s="80"/>
      <c r="U10" s="80">
        <v>526</v>
      </c>
      <c r="V10" s="86">
        <f t="shared" si="2"/>
        <v>506</v>
      </c>
    </row>
    <row r="11" spans="1:25">
      <c r="B11" s="83" t="s">
        <v>3853</v>
      </c>
      <c r="C11" s="85">
        <v>106</v>
      </c>
      <c r="D11" s="80">
        <v>512</v>
      </c>
      <c r="E11" s="81">
        <v>124</v>
      </c>
      <c r="F11" s="81"/>
      <c r="G11" s="83" t="s">
        <v>213</v>
      </c>
      <c r="H11" s="80">
        <v>77</v>
      </c>
      <c r="I11" s="80">
        <v>527</v>
      </c>
      <c r="J11" s="81">
        <f t="shared" si="0"/>
        <v>207</v>
      </c>
      <c r="O11" s="83" t="s">
        <v>214</v>
      </c>
      <c r="P11" s="85">
        <v>56</v>
      </c>
      <c r="Q11" s="85">
        <v>551</v>
      </c>
      <c r="R11" s="86">
        <f t="shared" si="1"/>
        <v>407</v>
      </c>
      <c r="S11" s="83" t="s">
        <v>215</v>
      </c>
      <c r="T11" s="85">
        <v>132</v>
      </c>
      <c r="U11" s="85">
        <v>532</v>
      </c>
      <c r="V11" s="86">
        <f t="shared" si="2"/>
        <v>507</v>
      </c>
    </row>
    <row r="12" spans="1:25">
      <c r="B12" s="83" t="s">
        <v>3855</v>
      </c>
      <c r="C12" s="85">
        <v>107</v>
      </c>
      <c r="D12" s="80">
        <v>512</v>
      </c>
      <c r="E12" s="81">
        <v>125</v>
      </c>
      <c r="F12" s="81"/>
      <c r="G12" s="83" t="s">
        <v>217</v>
      </c>
      <c r="H12" s="80">
        <v>82</v>
      </c>
      <c r="I12" s="80">
        <v>543</v>
      </c>
      <c r="J12" s="81">
        <f t="shared" si="0"/>
        <v>208</v>
      </c>
      <c r="O12" s="83" t="s">
        <v>218</v>
      </c>
      <c r="P12" s="85">
        <v>59</v>
      </c>
      <c r="R12" s="86">
        <f t="shared" si="1"/>
        <v>408</v>
      </c>
      <c r="S12" s="83" t="s">
        <v>219</v>
      </c>
      <c r="T12" s="85">
        <v>135</v>
      </c>
      <c r="V12" s="86">
        <f t="shared" si="2"/>
        <v>508</v>
      </c>
    </row>
    <row r="13" spans="1:25">
      <c r="B13" s="83" t="s">
        <v>3857</v>
      </c>
      <c r="C13" s="85">
        <v>108</v>
      </c>
      <c r="D13" s="80">
        <v>512</v>
      </c>
      <c r="E13" s="81">
        <v>126</v>
      </c>
      <c r="F13" s="81"/>
      <c r="G13" s="83" t="s">
        <v>221</v>
      </c>
      <c r="I13" s="80">
        <v>550</v>
      </c>
      <c r="J13" s="81">
        <f t="shared" si="0"/>
        <v>209</v>
      </c>
      <c r="O13" s="83" t="s">
        <v>222</v>
      </c>
      <c r="P13" s="85">
        <v>71</v>
      </c>
      <c r="R13" s="86">
        <f t="shared" si="1"/>
        <v>409</v>
      </c>
      <c r="S13" s="87" t="s">
        <v>223</v>
      </c>
      <c r="U13" s="79">
        <v>554</v>
      </c>
      <c r="V13" s="86">
        <v>509</v>
      </c>
    </row>
    <row r="14" spans="1:25">
      <c r="B14" s="83" t="s">
        <v>3859</v>
      </c>
      <c r="C14" s="85">
        <v>109</v>
      </c>
      <c r="D14" s="80">
        <v>512</v>
      </c>
      <c r="E14" s="81">
        <v>127</v>
      </c>
      <c r="F14" s="81"/>
      <c r="G14" s="83" t="s">
        <v>225</v>
      </c>
      <c r="H14" s="80">
        <v>27</v>
      </c>
      <c r="I14" s="80">
        <v>501</v>
      </c>
      <c r="J14" s="81">
        <f t="shared" si="0"/>
        <v>210</v>
      </c>
      <c r="L14" s="88"/>
      <c r="O14" s="83" t="s">
        <v>226</v>
      </c>
      <c r="P14" s="85">
        <v>41</v>
      </c>
      <c r="Q14" s="85">
        <v>541</v>
      </c>
      <c r="R14" s="86">
        <f t="shared" si="1"/>
        <v>410</v>
      </c>
      <c r="S14" s="83" t="s">
        <v>227</v>
      </c>
      <c r="T14" s="85">
        <v>133</v>
      </c>
      <c r="V14" s="86">
        <v>510</v>
      </c>
    </row>
    <row r="15" spans="1:25">
      <c r="B15" s="83" t="s">
        <v>911</v>
      </c>
      <c r="C15" s="85">
        <v>110</v>
      </c>
      <c r="D15" s="80">
        <v>512</v>
      </c>
      <c r="E15" s="81">
        <v>128</v>
      </c>
      <c r="F15" s="81"/>
      <c r="G15" s="83" t="s">
        <v>229</v>
      </c>
      <c r="H15" s="80">
        <v>27</v>
      </c>
      <c r="I15" s="80">
        <v>506</v>
      </c>
      <c r="J15" s="81">
        <f t="shared" si="0"/>
        <v>211</v>
      </c>
      <c r="O15" s="83" t="s">
        <v>230</v>
      </c>
      <c r="P15" s="85">
        <v>44</v>
      </c>
      <c r="R15" s="86">
        <f t="shared" si="1"/>
        <v>411</v>
      </c>
      <c r="S15" s="83" t="s">
        <v>231</v>
      </c>
      <c r="T15" s="85">
        <v>133</v>
      </c>
      <c r="U15" s="85" t="s">
        <v>232</v>
      </c>
      <c r="V15" s="86">
        <v>511</v>
      </c>
      <c r="X15" s="85"/>
      <c r="Y15" s="83"/>
    </row>
    <row r="16" spans="1:25">
      <c r="B16" s="83" t="s">
        <v>3862</v>
      </c>
      <c r="C16" s="85">
        <v>111</v>
      </c>
      <c r="D16" s="80">
        <v>512</v>
      </c>
      <c r="E16" s="81">
        <v>129</v>
      </c>
      <c r="F16" s="81"/>
      <c r="G16" s="83" t="s">
        <v>234</v>
      </c>
      <c r="H16" s="80">
        <v>27</v>
      </c>
      <c r="I16" s="80">
        <v>505</v>
      </c>
      <c r="J16" s="81">
        <f t="shared" si="0"/>
        <v>212</v>
      </c>
      <c r="O16" s="83" t="s">
        <v>235</v>
      </c>
      <c r="P16" s="85">
        <v>43</v>
      </c>
      <c r="R16" s="86">
        <f t="shared" si="1"/>
        <v>412</v>
      </c>
    </row>
    <row r="17" spans="2:25">
      <c r="B17" s="83" t="s">
        <v>3864</v>
      </c>
      <c r="C17" s="85">
        <v>112</v>
      </c>
      <c r="D17" s="80">
        <v>512</v>
      </c>
      <c r="E17" s="81">
        <v>130</v>
      </c>
      <c r="F17" s="81"/>
      <c r="G17" s="83" t="s">
        <v>237</v>
      </c>
      <c r="H17" s="80">
        <v>27</v>
      </c>
      <c r="I17" s="80">
        <v>504</v>
      </c>
      <c r="J17" s="81">
        <f t="shared" si="0"/>
        <v>213</v>
      </c>
      <c r="O17" s="83" t="s">
        <v>238</v>
      </c>
      <c r="P17" s="85">
        <v>42</v>
      </c>
      <c r="R17" s="86">
        <f t="shared" si="1"/>
        <v>413</v>
      </c>
      <c r="X17" s="85"/>
    </row>
    <row r="18" spans="2:25">
      <c r="B18" s="83" t="s">
        <v>3866</v>
      </c>
      <c r="C18" s="85">
        <v>113</v>
      </c>
      <c r="D18" s="80">
        <v>512</v>
      </c>
      <c r="E18" s="81">
        <v>131</v>
      </c>
      <c r="F18" s="81"/>
      <c r="G18" s="83" t="s">
        <v>241</v>
      </c>
      <c r="H18" s="80">
        <v>27</v>
      </c>
      <c r="I18" s="80">
        <v>503</v>
      </c>
      <c r="J18" s="81">
        <f t="shared" si="0"/>
        <v>214</v>
      </c>
      <c r="O18" s="83" t="s">
        <v>242</v>
      </c>
      <c r="P18" s="85">
        <v>45</v>
      </c>
      <c r="Q18" s="85">
        <v>537</v>
      </c>
      <c r="R18" s="86">
        <f t="shared" si="1"/>
        <v>414</v>
      </c>
      <c r="X18" s="85"/>
      <c r="Y18" s="83"/>
    </row>
    <row r="19" spans="2:25">
      <c r="B19" s="83" t="s">
        <v>3868</v>
      </c>
      <c r="C19" s="85">
        <v>114</v>
      </c>
      <c r="D19" s="80">
        <v>512</v>
      </c>
      <c r="E19" s="81">
        <v>132</v>
      </c>
      <c r="F19" s="81"/>
      <c r="G19" s="83" t="s">
        <v>244</v>
      </c>
      <c r="H19" s="80">
        <v>27</v>
      </c>
      <c r="I19" s="80">
        <v>502</v>
      </c>
      <c r="J19" s="81">
        <f t="shared" si="0"/>
        <v>215</v>
      </c>
      <c r="O19" s="83" t="s">
        <v>245</v>
      </c>
      <c r="P19" s="85">
        <v>46</v>
      </c>
      <c r="R19" s="86">
        <f t="shared" si="1"/>
        <v>415</v>
      </c>
      <c r="X19" s="85"/>
      <c r="Y19" s="83"/>
    </row>
    <row r="20" spans="2:25">
      <c r="B20" s="83" t="s">
        <v>3870</v>
      </c>
      <c r="C20" s="85">
        <v>122</v>
      </c>
      <c r="D20" s="80">
        <v>512</v>
      </c>
      <c r="E20" s="81">
        <v>133</v>
      </c>
      <c r="F20" s="81"/>
      <c r="G20" s="83" t="s">
        <v>2169</v>
      </c>
      <c r="I20" s="80">
        <v>509</v>
      </c>
      <c r="J20" s="81">
        <f t="shared" si="0"/>
        <v>216</v>
      </c>
      <c r="K20" s="83"/>
      <c r="O20" s="83" t="s">
        <v>2170</v>
      </c>
      <c r="P20" s="80">
        <v>31</v>
      </c>
      <c r="R20" s="86">
        <f t="shared" si="1"/>
        <v>416</v>
      </c>
    </row>
    <row r="21" spans="2:25">
      <c r="B21" s="83" t="s">
        <v>3872</v>
      </c>
      <c r="C21" s="85">
        <v>124</v>
      </c>
      <c r="D21" s="80">
        <v>512</v>
      </c>
      <c r="E21" s="81">
        <v>134</v>
      </c>
      <c r="F21" s="81"/>
      <c r="G21" s="83" t="s">
        <v>2172</v>
      </c>
      <c r="H21" s="80">
        <v>73</v>
      </c>
      <c r="I21" s="80">
        <v>511</v>
      </c>
      <c r="J21" s="81">
        <f t="shared" si="0"/>
        <v>217</v>
      </c>
      <c r="K21" s="83"/>
      <c r="O21" s="83" t="s">
        <v>2173</v>
      </c>
      <c r="P21" s="80">
        <v>35</v>
      </c>
      <c r="R21" s="86">
        <f t="shared" si="1"/>
        <v>417</v>
      </c>
    </row>
    <row r="22" spans="2:25">
      <c r="B22" s="83" t="s">
        <v>3874</v>
      </c>
      <c r="C22" s="85">
        <v>125</v>
      </c>
      <c r="D22" s="80">
        <v>512</v>
      </c>
      <c r="E22" s="81">
        <v>135</v>
      </c>
      <c r="F22" s="81"/>
      <c r="G22" s="83" t="s">
        <v>2175</v>
      </c>
      <c r="H22" s="80">
        <v>73</v>
      </c>
      <c r="I22" s="85">
        <v>510</v>
      </c>
      <c r="J22" s="81">
        <f t="shared" si="0"/>
        <v>218</v>
      </c>
      <c r="O22" s="83" t="s">
        <v>2176</v>
      </c>
      <c r="P22" s="80">
        <v>33</v>
      </c>
      <c r="R22" s="86">
        <f t="shared" si="1"/>
        <v>418</v>
      </c>
      <c r="X22" s="89"/>
      <c r="Y22" s="90"/>
    </row>
    <row r="23" spans="2:25">
      <c r="B23" s="83" t="s">
        <v>3876</v>
      </c>
      <c r="C23" s="85">
        <v>127</v>
      </c>
      <c r="D23" s="80">
        <v>512</v>
      </c>
      <c r="E23" s="81">
        <v>136</v>
      </c>
      <c r="F23" s="81"/>
      <c r="G23" s="83" t="s">
        <v>2178</v>
      </c>
      <c r="I23" s="85">
        <v>546</v>
      </c>
      <c r="J23" s="81">
        <f t="shared" si="0"/>
        <v>219</v>
      </c>
      <c r="O23" s="83" t="s">
        <v>2179</v>
      </c>
      <c r="P23" s="80">
        <v>34</v>
      </c>
      <c r="R23" s="86">
        <f t="shared" si="1"/>
        <v>419</v>
      </c>
      <c r="X23" s="91"/>
    </row>
    <row r="24" spans="2:25">
      <c r="B24" s="83" t="s">
        <v>3878</v>
      </c>
      <c r="C24" s="85">
        <v>128</v>
      </c>
      <c r="D24" s="80">
        <v>512</v>
      </c>
      <c r="E24" s="81">
        <v>137</v>
      </c>
      <c r="F24" s="81"/>
      <c r="G24" s="83" t="s">
        <v>2180</v>
      </c>
      <c r="I24" s="80">
        <v>556</v>
      </c>
      <c r="J24" s="81">
        <f t="shared" si="0"/>
        <v>220</v>
      </c>
      <c r="O24" s="83" t="s">
        <v>2181</v>
      </c>
      <c r="P24" s="80">
        <v>36</v>
      </c>
      <c r="R24" s="86">
        <f t="shared" si="1"/>
        <v>420</v>
      </c>
    </row>
    <row r="25" spans="2:25">
      <c r="B25" s="83" t="s">
        <v>688</v>
      </c>
      <c r="C25" s="80">
        <v>129</v>
      </c>
      <c r="D25" s="80">
        <v>512</v>
      </c>
      <c r="E25" s="81">
        <v>138</v>
      </c>
      <c r="F25" s="81"/>
      <c r="G25" s="83" t="s">
        <v>2183</v>
      </c>
      <c r="I25" s="80">
        <v>552</v>
      </c>
      <c r="J25" s="81">
        <f t="shared" si="0"/>
        <v>221</v>
      </c>
      <c r="R25" s="86"/>
      <c r="X25" s="91"/>
      <c r="Y25" s="90"/>
    </row>
    <row r="26" spans="2:25">
      <c r="B26" s="83" t="s">
        <v>690</v>
      </c>
      <c r="C26" s="85">
        <v>130</v>
      </c>
      <c r="E26" s="81">
        <v>139</v>
      </c>
      <c r="F26" s="81"/>
      <c r="G26" s="83" t="s">
        <v>2185</v>
      </c>
      <c r="H26" s="80">
        <v>79</v>
      </c>
      <c r="I26" s="80">
        <v>525</v>
      </c>
      <c r="J26" s="81">
        <f t="shared" si="0"/>
        <v>222</v>
      </c>
      <c r="K26" s="83"/>
      <c r="L26" s="80"/>
      <c r="M26" s="80"/>
      <c r="O26" s="83" t="s">
        <v>1740</v>
      </c>
    </row>
    <row r="27" spans="2:25">
      <c r="B27" s="83" t="s">
        <v>692</v>
      </c>
      <c r="C27" s="80">
        <v>60</v>
      </c>
      <c r="D27" s="80">
        <v>555</v>
      </c>
      <c r="E27" s="81">
        <v>140</v>
      </c>
      <c r="F27" s="81"/>
      <c r="G27" s="83" t="s">
        <v>2187</v>
      </c>
      <c r="H27" s="80">
        <v>78</v>
      </c>
      <c r="I27" s="80">
        <v>528</v>
      </c>
      <c r="J27" s="81">
        <f t="shared" si="0"/>
        <v>223</v>
      </c>
      <c r="K27" s="83"/>
      <c r="L27" s="80"/>
      <c r="M27" s="80"/>
      <c r="O27" s="83" t="s">
        <v>3300</v>
      </c>
      <c r="P27" s="80">
        <v>1</v>
      </c>
      <c r="Q27" s="80">
        <v>601</v>
      </c>
      <c r="R27" s="81">
        <v>101</v>
      </c>
    </row>
    <row r="28" spans="2:25">
      <c r="B28" s="83" t="s">
        <v>2414</v>
      </c>
      <c r="C28" s="80">
        <v>131</v>
      </c>
      <c r="D28" s="80">
        <v>531</v>
      </c>
      <c r="E28" s="81">
        <v>141</v>
      </c>
      <c r="F28" s="81"/>
      <c r="G28" s="83" t="s">
        <v>3854</v>
      </c>
      <c r="H28" s="80">
        <v>72</v>
      </c>
      <c r="J28" s="81">
        <f t="shared" si="0"/>
        <v>224</v>
      </c>
      <c r="K28" s="83"/>
      <c r="L28" s="80"/>
      <c r="M28" s="80"/>
      <c r="O28" s="79" t="s">
        <v>3306</v>
      </c>
      <c r="P28" s="80">
        <v>1</v>
      </c>
      <c r="Q28" s="80">
        <v>601</v>
      </c>
      <c r="R28" s="81">
        <f t="shared" ref="R28:R43" si="3">R27+1</f>
        <v>102</v>
      </c>
      <c r="X28" s="82"/>
      <c r="Y28" s="82"/>
    </row>
    <row r="29" spans="2:25">
      <c r="B29" s="83" t="s">
        <v>2415</v>
      </c>
      <c r="C29" s="80">
        <v>150</v>
      </c>
      <c r="D29" s="80">
        <v>522</v>
      </c>
      <c r="E29" s="81">
        <v>142</v>
      </c>
      <c r="F29" s="81"/>
      <c r="G29" s="83" t="s">
        <v>3856</v>
      </c>
      <c r="H29" s="80">
        <v>21</v>
      </c>
      <c r="I29" s="80">
        <v>521</v>
      </c>
      <c r="J29" s="81">
        <f t="shared" si="0"/>
        <v>225</v>
      </c>
      <c r="K29" s="83"/>
      <c r="L29" s="80"/>
      <c r="M29" s="80"/>
      <c r="O29" s="92" t="s">
        <v>3311</v>
      </c>
      <c r="P29" s="80">
        <v>1</v>
      </c>
      <c r="Q29" s="80">
        <v>601</v>
      </c>
      <c r="R29" s="81">
        <f t="shared" si="3"/>
        <v>103</v>
      </c>
    </row>
    <row r="30" spans="2:25">
      <c r="B30" s="83" t="s">
        <v>2416</v>
      </c>
      <c r="C30" s="85">
        <v>138</v>
      </c>
      <c r="E30" s="81">
        <v>143</v>
      </c>
      <c r="F30" s="81"/>
      <c r="G30" s="83" t="s">
        <v>3858</v>
      </c>
      <c r="J30" s="81">
        <f t="shared" si="0"/>
        <v>226</v>
      </c>
      <c r="K30" s="83"/>
      <c r="L30" s="80"/>
      <c r="M30" s="80"/>
      <c r="O30" s="83" t="s">
        <v>141</v>
      </c>
      <c r="P30" s="93" t="s">
        <v>142</v>
      </c>
      <c r="Q30" s="80">
        <v>601</v>
      </c>
      <c r="R30" s="81">
        <f t="shared" si="3"/>
        <v>104</v>
      </c>
    </row>
    <row r="31" spans="2:25">
      <c r="B31" s="83" t="s">
        <v>2417</v>
      </c>
      <c r="C31" s="85">
        <v>84</v>
      </c>
      <c r="D31" s="80">
        <v>523</v>
      </c>
      <c r="E31" s="81">
        <v>144</v>
      </c>
      <c r="F31" s="81"/>
      <c r="G31" s="83" t="s">
        <v>3860</v>
      </c>
      <c r="H31" s="85">
        <v>81</v>
      </c>
      <c r="I31" s="80">
        <v>519</v>
      </c>
      <c r="J31" s="81">
        <f t="shared" si="0"/>
        <v>227</v>
      </c>
      <c r="K31" s="83"/>
      <c r="L31" s="80"/>
      <c r="M31" s="80"/>
      <c r="O31" s="83" t="s">
        <v>148</v>
      </c>
      <c r="P31" s="80">
        <v>3</v>
      </c>
      <c r="Q31" s="80">
        <v>601</v>
      </c>
      <c r="R31" s="81">
        <f t="shared" si="3"/>
        <v>105</v>
      </c>
    </row>
    <row r="32" spans="2:25">
      <c r="B32" s="83" t="s">
        <v>2418</v>
      </c>
      <c r="C32" s="80">
        <v>85</v>
      </c>
      <c r="D32" s="80">
        <v>585</v>
      </c>
      <c r="E32" s="81">
        <v>145</v>
      </c>
      <c r="F32" s="81"/>
      <c r="G32" s="83" t="s">
        <v>3861</v>
      </c>
      <c r="H32" s="80">
        <v>130</v>
      </c>
      <c r="I32" s="85">
        <v>538</v>
      </c>
      <c r="J32" s="81">
        <f t="shared" si="0"/>
        <v>228</v>
      </c>
      <c r="K32" s="83"/>
      <c r="L32" s="80"/>
      <c r="M32" s="80"/>
      <c r="O32" s="83" t="s">
        <v>152</v>
      </c>
      <c r="P32" s="80">
        <v>4</v>
      </c>
      <c r="Q32" s="80">
        <v>601</v>
      </c>
      <c r="R32" s="81">
        <f t="shared" si="3"/>
        <v>106</v>
      </c>
      <c r="X32" s="85"/>
      <c r="Y32" s="87"/>
    </row>
    <row r="33" spans="2:24">
      <c r="B33" s="83" t="s">
        <v>2419</v>
      </c>
      <c r="C33" s="80">
        <v>75</v>
      </c>
      <c r="D33" s="80">
        <v>575</v>
      </c>
      <c r="E33" s="81">
        <v>146</v>
      </c>
      <c r="F33" s="81"/>
      <c r="G33" s="83" t="s">
        <v>3863</v>
      </c>
      <c r="H33" s="80">
        <v>130</v>
      </c>
      <c r="I33" s="85">
        <v>539</v>
      </c>
      <c r="J33" s="81">
        <f t="shared" si="0"/>
        <v>229</v>
      </c>
      <c r="K33" s="83"/>
      <c r="L33" s="80"/>
      <c r="M33" s="85"/>
      <c r="O33" s="83" t="s">
        <v>212</v>
      </c>
      <c r="P33" s="80">
        <v>6</v>
      </c>
      <c r="Q33" s="80">
        <v>601</v>
      </c>
      <c r="R33" s="81">
        <f t="shared" si="3"/>
        <v>107</v>
      </c>
      <c r="X33" s="94"/>
    </row>
    <row r="34" spans="2:24">
      <c r="B34" s="83" t="s">
        <v>2420</v>
      </c>
      <c r="C34" s="85">
        <v>24</v>
      </c>
      <c r="D34" s="80">
        <v>524</v>
      </c>
      <c r="E34" s="81">
        <v>147</v>
      </c>
      <c r="F34" s="81"/>
      <c r="G34" s="83" t="s">
        <v>3865</v>
      </c>
      <c r="H34" s="80">
        <v>86</v>
      </c>
      <c r="I34" s="80">
        <v>540</v>
      </c>
      <c r="J34" s="81">
        <f t="shared" si="0"/>
        <v>230</v>
      </c>
      <c r="K34" s="83"/>
      <c r="L34" s="80"/>
      <c r="M34" s="80"/>
      <c r="O34" s="83" t="s">
        <v>216</v>
      </c>
      <c r="P34" s="80">
        <v>7</v>
      </c>
      <c r="Q34" s="80">
        <v>601</v>
      </c>
      <c r="R34" s="81">
        <f t="shared" si="3"/>
        <v>108</v>
      </c>
      <c r="X34" s="94"/>
    </row>
    <row r="35" spans="2:24">
      <c r="B35" s="83" t="s">
        <v>2421</v>
      </c>
      <c r="C35" s="80">
        <v>87</v>
      </c>
      <c r="D35" s="80">
        <v>542</v>
      </c>
      <c r="E35" s="81">
        <v>148</v>
      </c>
      <c r="F35" s="81"/>
      <c r="G35" s="83" t="s">
        <v>3867</v>
      </c>
      <c r="I35" s="80">
        <v>547</v>
      </c>
      <c r="J35" s="81">
        <f t="shared" si="0"/>
        <v>231</v>
      </c>
      <c r="K35" s="83"/>
      <c r="L35" s="80"/>
      <c r="M35" s="80"/>
      <c r="O35" s="83" t="s">
        <v>220</v>
      </c>
      <c r="P35" s="80">
        <v>8</v>
      </c>
      <c r="Q35" s="80">
        <v>601</v>
      </c>
      <c r="R35" s="81">
        <f t="shared" si="3"/>
        <v>109</v>
      </c>
      <c r="X35" s="94"/>
    </row>
    <row r="36" spans="2:24">
      <c r="B36" s="83" t="s">
        <v>2422</v>
      </c>
      <c r="C36" s="80">
        <v>25</v>
      </c>
      <c r="D36" s="80">
        <v>508</v>
      </c>
      <c r="E36" s="81">
        <v>149</v>
      </c>
      <c r="F36" s="81"/>
      <c r="G36" s="83" t="s">
        <v>3869</v>
      </c>
      <c r="H36" s="80">
        <v>86</v>
      </c>
      <c r="I36" s="85">
        <v>544</v>
      </c>
      <c r="J36" s="81">
        <f t="shared" si="0"/>
        <v>232</v>
      </c>
      <c r="K36" s="83"/>
      <c r="L36" s="80"/>
      <c r="M36" s="80"/>
      <c r="O36" s="83" t="s">
        <v>224</v>
      </c>
      <c r="P36" s="80">
        <v>9</v>
      </c>
      <c r="Q36" s="80">
        <v>601</v>
      </c>
      <c r="R36" s="81">
        <f t="shared" si="3"/>
        <v>110</v>
      </c>
      <c r="X36" s="94"/>
    </row>
    <row r="37" spans="2:24">
      <c r="B37" s="83" t="s">
        <v>2423</v>
      </c>
      <c r="C37" s="80">
        <v>23</v>
      </c>
      <c r="E37" s="81">
        <v>150</v>
      </c>
      <c r="F37" s="81"/>
      <c r="G37" s="83" t="s">
        <v>3871</v>
      </c>
      <c r="H37" s="80">
        <v>26</v>
      </c>
      <c r="I37" s="80">
        <v>515</v>
      </c>
      <c r="J37" s="81">
        <f t="shared" si="0"/>
        <v>233</v>
      </c>
      <c r="K37" s="83"/>
      <c r="L37" s="80"/>
      <c r="M37" s="80"/>
      <c r="O37" s="83" t="s">
        <v>228</v>
      </c>
      <c r="P37" s="80">
        <v>10</v>
      </c>
      <c r="Q37" s="80">
        <v>601</v>
      </c>
      <c r="R37" s="81">
        <f t="shared" si="3"/>
        <v>111</v>
      </c>
    </row>
    <row r="38" spans="2:24">
      <c r="B38" s="83" t="s">
        <v>2424</v>
      </c>
      <c r="C38" s="80">
        <v>83</v>
      </c>
      <c r="D38" s="80">
        <v>549</v>
      </c>
      <c r="E38" s="81">
        <v>151</v>
      </c>
      <c r="F38" s="81"/>
      <c r="G38" s="83" t="s">
        <v>3873</v>
      </c>
      <c r="H38" s="80">
        <v>26</v>
      </c>
      <c r="I38" s="80">
        <v>514</v>
      </c>
      <c r="J38" s="81">
        <f t="shared" si="0"/>
        <v>234</v>
      </c>
      <c r="K38" s="83"/>
      <c r="L38" s="80"/>
      <c r="M38" s="80"/>
      <c r="O38" s="83" t="s">
        <v>233</v>
      </c>
      <c r="P38" s="80">
        <v>11</v>
      </c>
      <c r="Q38" s="80">
        <v>601</v>
      </c>
      <c r="R38" s="81">
        <f t="shared" si="3"/>
        <v>112</v>
      </c>
    </row>
    <row r="39" spans="2:24">
      <c r="B39" s="83" t="s">
        <v>2425</v>
      </c>
      <c r="C39" s="80">
        <v>80</v>
      </c>
      <c r="D39" s="80">
        <v>534</v>
      </c>
      <c r="E39" s="81">
        <v>152</v>
      </c>
      <c r="F39" s="81"/>
      <c r="G39" s="83" t="s">
        <v>3875</v>
      </c>
      <c r="H39" s="80">
        <v>74</v>
      </c>
      <c r="I39" s="85">
        <v>574</v>
      </c>
      <c r="J39" s="81">
        <f t="shared" si="0"/>
        <v>235</v>
      </c>
      <c r="K39" s="83"/>
      <c r="L39" s="80"/>
      <c r="M39" s="80"/>
      <c r="O39" s="83" t="s">
        <v>236</v>
      </c>
      <c r="P39" s="80">
        <v>12</v>
      </c>
      <c r="Q39" s="80">
        <v>601</v>
      </c>
      <c r="R39" s="81">
        <f t="shared" si="3"/>
        <v>113</v>
      </c>
    </row>
    <row r="40" spans="2:24">
      <c r="B40" s="83" t="s">
        <v>2426</v>
      </c>
      <c r="C40" s="85">
        <v>22</v>
      </c>
      <c r="D40" s="80">
        <v>520</v>
      </c>
      <c r="E40" s="81">
        <v>153</v>
      </c>
      <c r="F40" s="81"/>
      <c r="G40" s="83" t="s">
        <v>3877</v>
      </c>
      <c r="H40" s="80">
        <v>29</v>
      </c>
      <c r="I40" s="80">
        <v>517</v>
      </c>
      <c r="J40" s="81">
        <f t="shared" si="0"/>
        <v>236</v>
      </c>
      <c r="K40" s="83"/>
      <c r="L40" s="85"/>
      <c r="M40" s="80"/>
      <c r="O40" s="83" t="s">
        <v>239</v>
      </c>
      <c r="P40" s="84" t="s">
        <v>240</v>
      </c>
      <c r="Q40" s="80">
        <v>601</v>
      </c>
      <c r="R40" s="81">
        <f t="shared" si="3"/>
        <v>114</v>
      </c>
    </row>
    <row r="41" spans="2:24">
      <c r="B41" s="83" t="s">
        <v>2427</v>
      </c>
      <c r="C41" s="80">
        <v>48</v>
      </c>
      <c r="D41" s="80">
        <v>535</v>
      </c>
      <c r="E41" s="81">
        <v>154</v>
      </c>
      <c r="F41" s="81"/>
      <c r="G41" s="83" t="s">
        <v>687</v>
      </c>
      <c r="H41" s="80">
        <v>29</v>
      </c>
      <c r="I41" s="80">
        <v>518</v>
      </c>
      <c r="J41" s="81">
        <f t="shared" si="0"/>
        <v>237</v>
      </c>
      <c r="K41" s="83"/>
      <c r="L41" s="80"/>
      <c r="M41" s="80"/>
      <c r="O41" s="83" t="s">
        <v>243</v>
      </c>
      <c r="P41" s="80">
        <v>20</v>
      </c>
      <c r="Q41" s="80">
        <v>601</v>
      </c>
      <c r="R41" s="81">
        <f t="shared" si="3"/>
        <v>115</v>
      </c>
    </row>
    <row r="42" spans="2:24">
      <c r="B42" s="83" t="s">
        <v>2428</v>
      </c>
      <c r="C42" s="85">
        <v>32</v>
      </c>
      <c r="E42" s="81">
        <v>155</v>
      </c>
      <c r="F42" s="81"/>
      <c r="G42" s="83" t="s">
        <v>689</v>
      </c>
      <c r="H42" s="80">
        <v>29</v>
      </c>
      <c r="I42" s="80">
        <v>516</v>
      </c>
      <c r="J42" s="81">
        <f t="shared" si="0"/>
        <v>238</v>
      </c>
      <c r="K42" s="83"/>
      <c r="L42" s="80"/>
      <c r="M42" s="80"/>
      <c r="O42" s="83" t="s">
        <v>2168</v>
      </c>
      <c r="P42" s="80">
        <v>14</v>
      </c>
      <c r="Q42" s="80">
        <v>601</v>
      </c>
      <c r="R42" s="81">
        <f t="shared" si="3"/>
        <v>116</v>
      </c>
    </row>
    <row r="43" spans="2:24">
      <c r="B43" s="83" t="s">
        <v>2429</v>
      </c>
      <c r="C43" s="80">
        <v>49</v>
      </c>
      <c r="E43" s="81">
        <v>156</v>
      </c>
      <c r="F43" s="81"/>
      <c r="G43" s="83" t="s">
        <v>691</v>
      </c>
      <c r="I43" s="80">
        <v>529</v>
      </c>
      <c r="J43" s="81">
        <v>239</v>
      </c>
      <c r="K43" s="83"/>
      <c r="L43" s="80"/>
      <c r="M43" s="80"/>
      <c r="O43" s="83" t="s">
        <v>2171</v>
      </c>
      <c r="P43" s="80">
        <v>13</v>
      </c>
      <c r="Q43" s="80">
        <v>601</v>
      </c>
      <c r="R43" s="81">
        <f t="shared" si="3"/>
        <v>117</v>
      </c>
    </row>
    <row r="44" spans="2:24">
      <c r="B44" s="83" t="s">
        <v>2430</v>
      </c>
      <c r="C44" s="85">
        <v>89</v>
      </c>
      <c r="E44" s="81">
        <v>157</v>
      </c>
      <c r="F44" s="81"/>
      <c r="J44" s="81"/>
      <c r="K44" s="83"/>
      <c r="L44" s="80"/>
      <c r="M44" s="85"/>
    </row>
    <row r="45" spans="2:24">
      <c r="B45" s="79" t="s">
        <v>2431</v>
      </c>
      <c r="C45" s="80">
        <v>50</v>
      </c>
      <c r="E45" s="91">
        <v>158</v>
      </c>
      <c r="I45" s="85"/>
      <c r="J45" s="81"/>
      <c r="K45" s="83"/>
      <c r="L45" s="80"/>
      <c r="M45" s="80"/>
    </row>
    <row r="46" spans="2:24">
      <c r="K46" s="83"/>
      <c r="L46" s="80"/>
      <c r="M46" s="80"/>
    </row>
    <row r="47" spans="2:24">
      <c r="K47" s="83"/>
      <c r="L47" s="80"/>
      <c r="M47" s="80"/>
    </row>
    <row r="48" spans="2:24">
      <c r="K48" s="83"/>
      <c r="L48" s="80"/>
      <c r="M48" s="85"/>
    </row>
    <row r="49" spans="5:17">
      <c r="E49" s="81"/>
      <c r="F49" s="81"/>
      <c r="K49" s="83"/>
      <c r="L49" s="80"/>
      <c r="M49" s="80"/>
      <c r="Q49" s="80"/>
    </row>
    <row r="50" spans="5:17">
      <c r="K50" s="83"/>
      <c r="L50" s="80"/>
      <c r="M50" s="80"/>
    </row>
    <row r="51" spans="5:17">
      <c r="K51" s="83"/>
      <c r="L51" s="80"/>
      <c r="M51" s="80"/>
    </row>
    <row r="52" spans="5:17">
      <c r="K52" s="83"/>
      <c r="L52" s="85"/>
      <c r="M52" s="80"/>
    </row>
    <row r="53" spans="5:17">
      <c r="K53" s="83"/>
      <c r="L53" s="80"/>
      <c r="M53" s="80"/>
    </row>
    <row r="54" spans="5:17">
      <c r="K54" s="83"/>
      <c r="L54" s="80"/>
      <c r="M54" s="80"/>
    </row>
    <row r="55" spans="5:17">
      <c r="K55" s="83"/>
      <c r="L55" s="80"/>
      <c r="M55" s="85"/>
    </row>
    <row r="56" spans="5:17">
      <c r="K56" s="83"/>
      <c r="L56" s="80"/>
      <c r="M56" s="85"/>
    </row>
    <row r="57" spans="5:17">
      <c r="K57" s="83"/>
      <c r="L57" s="80"/>
      <c r="M57" s="80"/>
    </row>
    <row r="58" spans="5:17">
      <c r="K58" s="83"/>
      <c r="L58" s="80"/>
      <c r="M58" s="80"/>
    </row>
    <row r="59" spans="5:17">
      <c r="K59" s="83"/>
      <c r="L59" s="80"/>
      <c r="M59" s="80"/>
    </row>
    <row r="60" spans="5:17">
      <c r="K60" s="83"/>
    </row>
    <row r="61" spans="5:17">
      <c r="K61" s="83"/>
    </row>
    <row r="62" spans="5:17">
      <c r="K62" s="83"/>
      <c r="L62" s="80"/>
      <c r="M62" s="80"/>
    </row>
    <row r="63" spans="5:17">
      <c r="K63" s="83"/>
    </row>
    <row r="64" spans="5:17">
      <c r="K64" s="83"/>
    </row>
    <row r="65" spans="11:13">
      <c r="K65" s="83"/>
    </row>
    <row r="66" spans="11:13">
      <c r="K66" s="83"/>
      <c r="L66" s="80"/>
      <c r="M66" s="85"/>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defaultColWidth="11.4609375" defaultRowHeight="12.45"/>
  <cols>
    <col min="1" max="1" width="42.15234375" style="222" bestFit="1" customWidth="1"/>
    <col min="2" max="2" width="14" style="222" bestFit="1" customWidth="1"/>
    <col min="3" max="3" width="17.4609375" style="222" customWidth="1"/>
    <col min="4" max="4" width="14" style="223" hidden="1" customWidth="1"/>
    <col min="5" max="5" width="16.4609375" style="236" hidden="1" customWidth="1"/>
    <col min="6" max="6" width="14" style="237" hidden="1" customWidth="1"/>
    <col min="7" max="9" width="14" style="222" hidden="1" customWidth="1"/>
    <col min="10" max="10" width="0" style="222" hidden="1" customWidth="1"/>
    <col min="11" max="11" width="21.53515625" style="222" customWidth="1"/>
    <col min="12" max="12" width="30.84375" style="226" bestFit="1" customWidth="1"/>
    <col min="13" max="13" width="18.53515625" style="222" bestFit="1" customWidth="1"/>
    <col min="14" max="14" width="13" style="222" bestFit="1" customWidth="1"/>
    <col min="15" max="15" width="24.4609375" style="226" bestFit="1" customWidth="1"/>
    <col min="16" max="16" width="48.15234375" style="232" bestFit="1" customWidth="1"/>
    <col min="17" max="17" width="35.84375" style="232" bestFit="1" customWidth="1"/>
    <col min="18" max="18" width="15.4609375" style="228" bestFit="1" customWidth="1"/>
    <col min="19" max="19" width="17.4609375" style="228" bestFit="1" customWidth="1"/>
    <col min="20" max="20" width="14.53515625" style="222" bestFit="1" customWidth="1"/>
    <col min="21" max="22" width="17.4609375" style="222" bestFit="1" customWidth="1"/>
    <col min="23" max="23" width="15.53515625" style="222" bestFit="1" customWidth="1"/>
    <col min="24" max="24" width="17.15234375" style="222" bestFit="1" customWidth="1"/>
    <col min="25" max="25" width="29.53515625" style="222" bestFit="1" customWidth="1"/>
    <col min="26" max="26" width="9.53515625" style="222" bestFit="1" customWidth="1"/>
    <col min="27" max="27" width="17.53515625" style="222" bestFit="1" customWidth="1"/>
    <col min="28" max="28" width="8.15234375" style="222" bestFit="1" customWidth="1"/>
    <col min="29" max="29" width="21.53515625" style="222" bestFit="1" customWidth="1"/>
    <col min="30" max="30" width="20.4609375" style="222" bestFit="1" customWidth="1"/>
    <col min="31" max="31" width="23" style="222" bestFit="1" customWidth="1"/>
    <col min="32" max="32" width="27.15234375" style="222" bestFit="1" customWidth="1"/>
    <col min="33" max="33" width="14.4609375" style="222" bestFit="1" customWidth="1"/>
    <col min="34" max="34" width="29.15234375" style="222" bestFit="1" customWidth="1"/>
    <col min="35" max="35" width="29.15234375" style="222" customWidth="1"/>
    <col min="36" max="36" width="31.53515625" style="222" bestFit="1" customWidth="1"/>
    <col min="37" max="37" width="25.84375" style="222" bestFit="1" customWidth="1"/>
    <col min="38" max="38" width="27.4609375" style="222" bestFit="1" customWidth="1"/>
    <col min="39" max="39" width="27.15234375" style="222" bestFit="1" customWidth="1"/>
    <col min="40" max="40" width="25.15234375" style="222" bestFit="1" customWidth="1"/>
    <col min="41" max="41" width="12" style="222" bestFit="1" customWidth="1"/>
    <col min="42" max="42" width="16" style="222" bestFit="1" customWidth="1"/>
    <col min="43" max="43" width="22.53515625" style="222" bestFit="1" customWidth="1"/>
    <col min="44" max="44" width="23" style="222" bestFit="1" customWidth="1"/>
    <col min="45" max="45" width="14.53515625" style="222" bestFit="1" customWidth="1"/>
    <col min="46" max="46" width="18.15234375" style="222" bestFit="1" customWidth="1"/>
    <col min="47" max="47" width="17.4609375" style="222" bestFit="1" customWidth="1"/>
    <col min="48" max="48" width="18.15234375" style="222" bestFit="1" customWidth="1"/>
    <col min="49" max="49" width="22.4609375" style="222" bestFit="1" customWidth="1"/>
    <col min="50" max="50" width="11" style="222" bestFit="1" customWidth="1"/>
    <col min="51" max="51" width="14.53515625" style="222" bestFit="1" customWidth="1"/>
    <col min="52" max="52" width="18" style="222" bestFit="1" customWidth="1"/>
    <col min="53" max="53" width="14.53515625" style="222" bestFit="1" customWidth="1"/>
    <col min="54" max="56" width="11.4609375" style="222" customWidth="1"/>
    <col min="57" max="66" width="11.53515625" style="222" bestFit="1" customWidth="1"/>
    <col min="67" max="16384" width="11.4609375" style="222"/>
  </cols>
  <sheetData>
    <row r="1" spans="1:71">
      <c r="E1" s="224"/>
      <c r="F1" s="225"/>
      <c r="K1" s="226"/>
      <c r="P1" s="227"/>
      <c r="Q1" s="226"/>
    </row>
    <row r="2" spans="1:71">
      <c r="E2" s="224"/>
      <c r="F2" s="225"/>
      <c r="P2" s="227"/>
      <c r="Q2" s="226"/>
    </row>
    <row r="3" spans="1:71">
      <c r="E3" s="224"/>
      <c r="F3" s="225"/>
      <c r="K3" s="226"/>
      <c r="P3" s="227"/>
      <c r="Q3" s="226"/>
    </row>
    <row r="4" spans="1:71">
      <c r="E4" s="224"/>
      <c r="F4" s="225"/>
      <c r="M4" s="229"/>
      <c r="N4" s="229"/>
      <c r="O4" s="227"/>
      <c r="P4" s="227"/>
      <c r="Q4" s="226"/>
      <c r="R4" s="228" t="s">
        <v>1741</v>
      </c>
      <c r="S4" s="228">
        <v>1.5</v>
      </c>
      <c r="T4" s="229"/>
      <c r="U4" s="229"/>
      <c r="V4" s="229"/>
      <c r="W4" s="229"/>
      <c r="X4" s="229"/>
      <c r="Y4" s="229"/>
      <c r="Z4" s="229"/>
    </row>
    <row r="5" spans="1:71">
      <c r="E5" s="224"/>
      <c r="F5" s="225"/>
      <c r="K5" s="230"/>
      <c r="N5" s="229"/>
      <c r="O5" s="231"/>
      <c r="P5" s="227"/>
      <c r="Q5" s="226"/>
      <c r="R5" s="228" t="s">
        <v>1742</v>
      </c>
      <c r="S5" s="228">
        <v>0</v>
      </c>
      <c r="V5" s="229"/>
      <c r="W5" s="229"/>
      <c r="X5" s="229"/>
      <c r="Y5" s="229"/>
      <c r="Z5" s="229"/>
    </row>
    <row r="6" spans="1:71">
      <c r="E6" s="224"/>
      <c r="F6" s="225"/>
      <c r="O6" s="229"/>
      <c r="P6" s="227"/>
      <c r="Q6" s="226"/>
      <c r="R6" s="225" t="s">
        <v>2443</v>
      </c>
      <c r="S6" s="225" t="b">
        <f>PoleType_</f>
        <v>0</v>
      </c>
      <c r="V6" s="229"/>
      <c r="AB6" s="229"/>
      <c r="AC6" s="229"/>
      <c r="AF6" s="232"/>
    </row>
    <row r="7" spans="1:71">
      <c r="E7" s="224"/>
      <c r="F7" s="225"/>
      <c r="O7" s="229"/>
      <c r="P7" s="227"/>
      <c r="Q7" s="226"/>
      <c r="V7" s="229"/>
      <c r="AF7" s="232"/>
    </row>
    <row r="8" spans="1:71">
      <c r="A8" s="233" t="s">
        <v>2443</v>
      </c>
      <c r="E8" s="224"/>
      <c r="F8" s="225"/>
      <c r="K8" s="226"/>
      <c r="L8" s="234"/>
      <c r="M8" s="234"/>
      <c r="O8" s="229"/>
      <c r="P8" s="227"/>
      <c r="Q8" s="226"/>
      <c r="R8" s="225"/>
      <c r="V8" s="229"/>
      <c r="AF8" s="232"/>
    </row>
    <row r="9" spans="1:71">
      <c r="A9" s="235">
        <v>1</v>
      </c>
      <c r="B9" s="235" t="s">
        <v>1743</v>
      </c>
      <c r="E9" s="224"/>
      <c r="F9" s="225"/>
      <c r="K9" s="227"/>
      <c r="L9" s="232"/>
      <c r="M9" s="232"/>
      <c r="O9" s="229"/>
      <c r="P9" s="229"/>
      <c r="R9" s="225"/>
      <c r="V9" s="229"/>
      <c r="AF9" s="232"/>
    </row>
    <row r="10" spans="1:71">
      <c r="A10" s="235">
        <v>2</v>
      </c>
      <c r="B10" s="235" t="s">
        <v>860</v>
      </c>
      <c r="E10" s="224"/>
      <c r="F10" s="225"/>
      <c r="K10" s="227"/>
      <c r="L10" s="232"/>
      <c r="M10" s="232"/>
      <c r="O10" s="229"/>
      <c r="P10" s="229"/>
      <c r="R10" s="225"/>
      <c r="V10" s="229"/>
      <c r="AF10" s="232"/>
    </row>
    <row r="11" spans="1:71">
      <c r="A11" s="235">
        <v>3</v>
      </c>
      <c r="B11" s="235" t="s">
        <v>1744</v>
      </c>
      <c r="E11" s="224"/>
      <c r="F11" s="225"/>
      <c r="K11" s="227"/>
      <c r="L11" s="232"/>
      <c r="M11" s="232"/>
      <c r="O11" s="229"/>
      <c r="P11" s="229"/>
      <c r="Q11" s="229"/>
      <c r="R11" s="225"/>
      <c r="S11" s="225"/>
      <c r="V11" s="229"/>
      <c r="AF11" s="232"/>
    </row>
    <row r="12" spans="1:71">
      <c r="A12" s="235">
        <v>4</v>
      </c>
      <c r="B12" s="235" t="s">
        <v>1745</v>
      </c>
      <c r="E12" s="224"/>
      <c r="F12" s="225"/>
      <c r="K12" s="227"/>
      <c r="L12" s="232"/>
      <c r="M12" s="232"/>
      <c r="O12" s="222"/>
      <c r="P12" s="222"/>
      <c r="Q12" s="222"/>
      <c r="V12" s="229"/>
    </row>
    <row r="13" spans="1:71">
      <c r="A13" s="235">
        <v>5</v>
      </c>
      <c r="B13" s="235" t="s">
        <v>1746</v>
      </c>
      <c r="E13" s="224"/>
      <c r="F13" s="225"/>
      <c r="K13" s="227"/>
      <c r="L13" s="232"/>
      <c r="M13" s="232"/>
      <c r="O13" s="222"/>
      <c r="P13" s="222"/>
      <c r="Q13" s="222"/>
      <c r="V13" s="229"/>
    </row>
    <row r="14" spans="1:71">
      <c r="E14" s="224"/>
      <c r="F14" s="225"/>
      <c r="K14" s="227"/>
      <c r="L14" s="232"/>
      <c r="M14" s="232"/>
      <c r="P14" s="228"/>
      <c r="Q14" s="226"/>
      <c r="V14" s="229"/>
      <c r="BD14" s="228"/>
      <c r="BE14" s="228"/>
      <c r="BF14" s="228"/>
      <c r="BG14" s="228"/>
      <c r="BH14" s="228"/>
      <c r="BI14" s="228"/>
      <c r="BJ14" s="228"/>
      <c r="BK14" s="228"/>
      <c r="BL14" s="228"/>
      <c r="BM14" s="228"/>
      <c r="BN14" s="228"/>
      <c r="BO14" s="228"/>
      <c r="BP14" s="228"/>
      <c r="BQ14" s="228"/>
      <c r="BR14" s="228"/>
      <c r="BS14" s="228"/>
    </row>
    <row r="15" spans="1:71">
      <c r="E15" s="224"/>
      <c r="F15" s="225"/>
      <c r="K15" s="227"/>
      <c r="L15" s="232"/>
      <c r="M15" s="232"/>
      <c r="O15" s="228"/>
      <c r="P15" s="228"/>
      <c r="Q15" s="225"/>
      <c r="V15" s="229"/>
      <c r="AR15" s="234"/>
      <c r="AS15" s="234"/>
      <c r="BD15" s="228"/>
      <c r="BE15" s="228"/>
      <c r="BF15" s="228"/>
      <c r="BG15" s="228"/>
      <c r="BH15" s="228"/>
      <c r="BI15" s="228"/>
      <c r="BJ15" s="228"/>
      <c r="BK15" s="228"/>
      <c r="BL15" s="228"/>
      <c r="BM15" s="228"/>
      <c r="BN15" s="228"/>
      <c r="BO15" s="228"/>
      <c r="BP15" s="228"/>
      <c r="BQ15" s="228"/>
      <c r="BR15" s="228"/>
      <c r="BS15" s="228"/>
    </row>
    <row r="16" spans="1:71">
      <c r="E16" s="224"/>
      <c r="F16" s="225"/>
      <c r="K16" s="227"/>
      <c r="L16" s="232"/>
      <c r="M16" s="232"/>
      <c r="O16" s="228"/>
      <c r="P16" s="228"/>
      <c r="Q16" s="225"/>
      <c r="V16" s="229"/>
      <c r="AQ16" s="227"/>
      <c r="AR16" s="232"/>
      <c r="AS16" s="232"/>
      <c r="BD16" s="228"/>
      <c r="BE16" s="228"/>
      <c r="BF16" s="228"/>
      <c r="BG16" s="228"/>
      <c r="BH16" s="228"/>
      <c r="BI16" s="228"/>
      <c r="BJ16" s="228"/>
      <c r="BK16" s="228"/>
      <c r="BL16" s="228"/>
      <c r="BM16" s="228"/>
      <c r="BN16" s="228"/>
      <c r="BO16" s="228"/>
      <c r="BP16" s="228"/>
      <c r="BQ16" s="228"/>
      <c r="BR16" s="228"/>
      <c r="BS16" s="228"/>
    </row>
    <row r="17" spans="1:71">
      <c r="E17" s="236" t="s">
        <v>1741</v>
      </c>
      <c r="F17" s="237">
        <v>1.5</v>
      </c>
      <c r="K17" s="227"/>
      <c r="L17" s="232"/>
      <c r="M17" s="232"/>
      <c r="O17" s="228"/>
      <c r="P17" s="228"/>
      <c r="Q17" s="225"/>
      <c r="V17" s="229"/>
      <c r="AQ17" s="227"/>
      <c r="AR17" s="232"/>
      <c r="AS17" s="232"/>
      <c r="AT17" s="225"/>
      <c r="AU17" s="225"/>
      <c r="BD17" s="228"/>
      <c r="BE17" s="228"/>
      <c r="BF17" s="228"/>
      <c r="BG17" s="228"/>
      <c r="BH17" s="228"/>
      <c r="BI17" s="228"/>
      <c r="BJ17" s="228"/>
      <c r="BK17" s="228"/>
      <c r="BL17" s="228"/>
      <c r="BM17" s="228"/>
      <c r="BN17" s="228"/>
      <c r="BO17" s="228"/>
      <c r="BP17" s="228"/>
      <c r="BQ17" s="228"/>
      <c r="BR17" s="228"/>
      <c r="BS17" s="228"/>
    </row>
    <row r="18" spans="1:71" ht="12.9" thickBot="1">
      <c r="E18" s="236" t="s">
        <v>1742</v>
      </c>
      <c r="F18" s="237">
        <v>0</v>
      </c>
      <c r="K18" s="227"/>
      <c r="L18" s="232"/>
      <c r="M18" s="232"/>
      <c r="O18" s="228"/>
      <c r="P18" s="228"/>
      <c r="Q18" s="225"/>
      <c r="V18" s="229"/>
      <c r="AQ18" s="227"/>
      <c r="AR18" s="232"/>
      <c r="AS18" s="232"/>
      <c r="BL18" s="228"/>
      <c r="BM18" s="228"/>
      <c r="BN18" s="228"/>
      <c r="BO18" s="228"/>
      <c r="BP18" s="228"/>
      <c r="BQ18" s="228"/>
      <c r="BR18" s="228"/>
      <c r="BS18" s="228"/>
    </row>
    <row r="19" spans="1:71" ht="18" thickBot="1">
      <c r="A19" s="238" t="s">
        <v>1747</v>
      </c>
      <c r="E19" s="239" t="s">
        <v>2443</v>
      </c>
      <c r="F19" s="237" t="b">
        <f>PoleType_</f>
        <v>0</v>
      </c>
      <c r="K19" s="227"/>
      <c r="L19" s="232"/>
      <c r="M19" s="232"/>
      <c r="O19" s="228"/>
      <c r="P19" s="228"/>
      <c r="Q19" s="225"/>
      <c r="V19" s="229"/>
      <c r="AJ19" s="227"/>
      <c r="AK19" s="240"/>
      <c r="AL19" s="226"/>
      <c r="AM19" s="226"/>
      <c r="AN19" s="226"/>
      <c r="AO19" s="226"/>
      <c r="AQ19" s="227"/>
      <c r="AR19" s="232"/>
      <c r="AS19" s="232"/>
      <c r="BL19" s="228"/>
      <c r="BM19" s="228"/>
      <c r="BN19" s="228"/>
      <c r="BO19" s="228"/>
      <c r="BP19" s="228"/>
      <c r="BQ19" s="228"/>
      <c r="BR19" s="228"/>
      <c r="BS19" s="228"/>
    </row>
    <row r="20" spans="1:71" ht="12.9" thickBot="1">
      <c r="A20" s="241" t="s">
        <v>3214</v>
      </c>
      <c r="B20" s="242">
        <f>Application!D47</f>
        <v>0</v>
      </c>
      <c r="C20" s="243"/>
      <c r="E20" s="244" t="s">
        <v>1748</v>
      </c>
      <c r="F20" s="237" t="e">
        <f>IF(MUW_/MTW_&lt;=0.65,0.04*E_,MUW_*0.63)</f>
        <v>#DIV/0!</v>
      </c>
      <c r="G20" s="231"/>
      <c r="H20" s="225"/>
      <c r="I20" s="231"/>
      <c r="K20" s="227"/>
      <c r="L20" s="232"/>
      <c r="M20" s="232"/>
      <c r="O20" s="228"/>
      <c r="P20" s="228"/>
      <c r="Q20" s="225"/>
      <c r="V20" s="229"/>
      <c r="AJ20" s="227"/>
      <c r="AK20" s="240"/>
      <c r="AQ20" s="227"/>
      <c r="AR20" s="232"/>
      <c r="AS20" s="232"/>
      <c r="BL20" s="228"/>
      <c r="BM20" s="228"/>
      <c r="BN20" s="228"/>
      <c r="BO20" s="228"/>
      <c r="BP20" s="228"/>
      <c r="BQ20" s="228"/>
      <c r="BR20" s="228"/>
      <c r="BS20" s="228"/>
    </row>
    <row r="21" spans="1:71" ht="12.9" thickBot="1">
      <c r="A21" s="245" t="s">
        <v>3782</v>
      </c>
      <c r="B21" s="242">
        <f>Application!D48</f>
        <v>0</v>
      </c>
      <c r="C21" s="231"/>
      <c r="D21" s="243"/>
      <c r="E21" s="244" t="s">
        <v>1749</v>
      </c>
      <c r="F21" s="244" t="e">
        <f>180*ATAN(((FL_^2-J_^2)^0.5)/J_)/PI()</f>
        <v>#DIV/0!</v>
      </c>
      <c r="G21" s="231"/>
      <c r="H21" s="231"/>
      <c r="I21" s="231"/>
      <c r="K21" s="227"/>
      <c r="L21" s="232"/>
      <c r="M21" s="232"/>
      <c r="O21" s="222"/>
      <c r="P21" s="222"/>
      <c r="Q21" s="222"/>
      <c r="V21" s="229"/>
      <c r="AJ21" s="227"/>
      <c r="AK21" s="240"/>
      <c r="AQ21" s="227"/>
      <c r="AR21" s="232"/>
      <c r="AS21" s="232"/>
      <c r="BL21" s="228"/>
      <c r="BM21" s="228"/>
      <c r="BN21" s="228"/>
      <c r="BO21" s="228"/>
      <c r="BP21" s="228"/>
      <c r="BQ21" s="228"/>
      <c r="BR21" s="228"/>
      <c r="BS21" s="228"/>
    </row>
    <row r="22" spans="1:71" ht="12.9" thickBot="1">
      <c r="A22" s="245" t="s">
        <v>3785</v>
      </c>
      <c r="B22" s="242">
        <f>Application!D49</f>
        <v>0</v>
      </c>
      <c r="C22" s="231"/>
      <c r="D22" s="243"/>
      <c r="E22" s="908" t="s">
        <v>1750</v>
      </c>
      <c r="F22" s="246">
        <f>IF(LH_&lt;8,1.4,IF(LH_&gt;=8,0.1*LH_+0.6))</f>
        <v>1.4</v>
      </c>
      <c r="G22" s="231"/>
      <c r="H22" s="231"/>
      <c r="I22" s="231"/>
      <c r="K22" s="227"/>
      <c r="L22" s="232"/>
      <c r="M22" s="232"/>
      <c r="O22" s="225"/>
      <c r="P22" s="247"/>
      <c r="Q22" s="222"/>
      <c r="AJ22" s="227"/>
      <c r="AK22" s="240"/>
      <c r="AQ22" s="227"/>
      <c r="AR22" s="232"/>
      <c r="AS22" s="232"/>
      <c r="BC22" s="232"/>
      <c r="BD22" s="232"/>
      <c r="BE22" s="248"/>
      <c r="BF22" s="225"/>
      <c r="BG22" s="226"/>
      <c r="BH22" s="225"/>
      <c r="BI22" s="225"/>
      <c r="BL22" s="228"/>
      <c r="BM22" s="228"/>
      <c r="BN22" s="228"/>
      <c r="BO22" s="228"/>
      <c r="BP22" s="228"/>
      <c r="BQ22" s="228"/>
      <c r="BR22" s="228"/>
      <c r="BS22" s="228"/>
    </row>
    <row r="23" spans="1:71" ht="12.9" thickBot="1">
      <c r="A23" s="245" t="s">
        <v>3788</v>
      </c>
      <c r="B23" s="242">
        <f>Application!D50</f>
        <v>0</v>
      </c>
      <c r="C23" s="231"/>
      <c r="D23" s="243"/>
      <c r="E23" s="908"/>
      <c r="F23" s="900">
        <f>IF(F22&gt;3,3,F22)</f>
        <v>1.4</v>
      </c>
      <c r="G23" s="231"/>
      <c r="H23" s="231"/>
      <c r="I23" s="231"/>
      <c r="K23" s="227"/>
      <c r="L23" s="232"/>
      <c r="M23" s="232"/>
      <c r="O23" s="222"/>
      <c r="P23" s="222"/>
      <c r="Q23" s="222"/>
      <c r="AJ23" s="227"/>
      <c r="AK23" s="240"/>
      <c r="AQ23" s="227"/>
      <c r="AR23" s="232"/>
      <c r="AS23" s="232"/>
      <c r="BC23" s="232"/>
      <c r="BD23" s="232"/>
      <c r="BE23" s="248"/>
      <c r="BF23" s="225"/>
      <c r="BG23" s="228"/>
      <c r="BH23" s="225"/>
      <c r="BI23" s="225"/>
      <c r="BL23" s="228"/>
      <c r="BM23" s="228"/>
      <c r="BN23" s="228"/>
      <c r="BO23" s="228"/>
      <c r="BP23" s="228"/>
      <c r="BQ23" s="228"/>
      <c r="BR23" s="228"/>
      <c r="BS23" s="228"/>
    </row>
    <row r="24" spans="1:71" ht="12.9" thickBot="1">
      <c r="A24" s="245" t="s">
        <v>3783</v>
      </c>
      <c r="B24" s="242">
        <f>Application!D51</f>
        <v>0</v>
      </c>
      <c r="C24" s="231"/>
      <c r="D24" s="243"/>
      <c r="E24" s="908"/>
      <c r="F24" s="903"/>
      <c r="G24" s="231"/>
      <c r="H24" s="231"/>
      <c r="I24" s="231"/>
      <c r="K24" s="227"/>
      <c r="L24" s="232"/>
      <c r="M24" s="232"/>
      <c r="P24" s="228"/>
      <c r="Q24" s="228"/>
      <c r="AJ24" s="227"/>
      <c r="AK24" s="240"/>
      <c r="AQ24" s="227"/>
      <c r="AR24" s="232"/>
      <c r="AS24" s="232"/>
      <c r="BC24" s="232"/>
      <c r="BD24" s="232"/>
      <c r="BE24" s="248"/>
      <c r="BF24" s="225"/>
      <c r="BG24" s="228"/>
      <c r="BH24" s="225"/>
      <c r="BI24" s="225"/>
      <c r="BL24" s="228"/>
      <c r="BM24" s="228"/>
      <c r="BN24" s="228"/>
      <c r="BO24" s="228"/>
      <c r="BP24" s="228"/>
      <c r="BQ24" s="228"/>
      <c r="BR24" s="228"/>
      <c r="BS24" s="228"/>
    </row>
    <row r="25" spans="1:71" ht="12.9" thickBot="1">
      <c r="A25" s="245" t="s">
        <v>3786</v>
      </c>
      <c r="B25" s="242">
        <f>Application!D52</f>
        <v>0</v>
      </c>
      <c r="C25" s="231"/>
      <c r="D25" s="243"/>
      <c r="E25" s="908" t="s">
        <v>1751</v>
      </c>
      <c r="F25" s="907">
        <f>IF(0.025*LH_&lt;0.1,0.1,IF(0.025*LH_&gt;1.3,1.3,0.025*LH_))</f>
        <v>0.1</v>
      </c>
      <c r="G25" s="231"/>
      <c r="H25" s="231"/>
      <c r="I25" s="231"/>
      <c r="K25" s="227"/>
      <c r="L25" s="232"/>
      <c r="M25" s="232"/>
      <c r="O25" s="228"/>
      <c r="P25" s="228"/>
      <c r="Q25" s="228"/>
      <c r="AJ25" s="227"/>
      <c r="AK25" s="240"/>
      <c r="AQ25" s="227"/>
      <c r="AR25" s="232"/>
      <c r="AS25" s="232"/>
      <c r="BC25" s="232"/>
      <c r="BD25" s="232"/>
      <c r="BE25" s="248"/>
      <c r="BF25" s="225"/>
      <c r="BH25" s="232"/>
      <c r="BI25" s="232"/>
      <c r="BL25" s="228"/>
      <c r="BM25" s="228"/>
      <c r="BN25" s="228"/>
      <c r="BO25" s="228"/>
      <c r="BP25" s="228"/>
      <c r="BQ25" s="228"/>
      <c r="BR25" s="228"/>
      <c r="BS25" s="228"/>
    </row>
    <row r="26" spans="1:71" ht="12.9" thickBot="1">
      <c r="A26" s="245" t="s">
        <v>366</v>
      </c>
      <c r="B26" s="242">
        <f>Application!D97</f>
        <v>0</v>
      </c>
      <c r="C26" s="231"/>
      <c r="D26" s="243"/>
      <c r="E26" s="908"/>
      <c r="F26" s="907"/>
      <c r="G26" s="231"/>
      <c r="H26" s="231"/>
      <c r="I26" s="231"/>
      <c r="K26" s="227"/>
      <c r="L26" s="232"/>
      <c r="M26" s="232"/>
      <c r="O26" s="228"/>
      <c r="P26" s="228"/>
      <c r="Q26" s="228"/>
      <c r="R26" s="225"/>
      <c r="AJ26" s="227"/>
      <c r="AK26" s="240"/>
      <c r="AL26" s="232"/>
      <c r="BC26" s="232"/>
      <c r="BD26" s="232"/>
      <c r="BE26" s="248"/>
      <c r="BF26" s="225"/>
      <c r="BG26" s="228"/>
      <c r="BH26" s="225"/>
      <c r="BI26" s="225"/>
      <c r="BL26" s="228"/>
      <c r="BM26" s="228"/>
      <c r="BN26" s="228"/>
      <c r="BO26" s="228"/>
      <c r="BP26" s="228"/>
      <c r="BQ26" s="228"/>
      <c r="BR26" s="228"/>
      <c r="BS26" s="228"/>
    </row>
    <row r="27" spans="1:71" ht="12.9" thickBot="1">
      <c r="A27" s="245" t="s">
        <v>368</v>
      </c>
      <c r="B27" s="242">
        <f>Application!D98</f>
        <v>0</v>
      </c>
      <c r="C27" s="231"/>
      <c r="D27" s="243"/>
      <c r="E27" s="908"/>
      <c r="F27" s="907"/>
      <c r="G27" s="231"/>
      <c r="H27" s="231"/>
      <c r="I27" s="231"/>
      <c r="K27" s="227"/>
      <c r="L27" s="232"/>
      <c r="M27" s="232"/>
      <c r="O27" s="228"/>
      <c r="P27" s="228"/>
      <c r="Q27" s="228"/>
      <c r="R27" s="225"/>
      <c r="AJ27" s="227"/>
      <c r="AK27" s="240"/>
      <c r="BC27" s="232"/>
      <c r="BD27" s="232"/>
      <c r="BE27" s="248"/>
      <c r="BF27" s="225"/>
      <c r="BG27" s="226"/>
      <c r="BH27" s="225"/>
      <c r="BI27" s="228"/>
      <c r="BL27" s="228"/>
      <c r="BM27" s="228"/>
      <c r="BN27" s="228"/>
      <c r="BO27" s="228"/>
      <c r="BP27" s="228"/>
      <c r="BQ27" s="228"/>
      <c r="BR27" s="228"/>
      <c r="BS27" s="228"/>
    </row>
    <row r="28" spans="1:71" ht="12.9" thickBot="1">
      <c r="A28" s="245" t="s">
        <v>371</v>
      </c>
      <c r="B28" s="242">
        <f>Application!D99</f>
        <v>0</v>
      </c>
      <c r="C28" s="231"/>
      <c r="D28" s="243"/>
      <c r="E28" s="912" t="s">
        <v>1752</v>
      </c>
      <c r="F28" s="249">
        <f>IF(LH_&lt;8,0.1*LH_+0.2,IF(LH_&gt;=14,0.025*LH_+1.4,0.1*LH_+0.35))</f>
        <v>0.2</v>
      </c>
      <c r="G28" s="231"/>
      <c r="H28" s="231"/>
      <c r="I28" s="231"/>
      <c r="K28" s="227"/>
      <c r="L28" s="232"/>
      <c r="M28" s="232"/>
      <c r="O28" s="228"/>
      <c r="P28" s="228"/>
      <c r="Q28" s="228"/>
      <c r="R28" s="225"/>
      <c r="S28" s="225"/>
      <c r="AJ28" s="227"/>
      <c r="AK28" s="232"/>
      <c r="BC28" s="232"/>
      <c r="BD28" s="232"/>
      <c r="BE28" s="248"/>
      <c r="BF28" s="225"/>
      <c r="BG28" s="225"/>
      <c r="BH28" s="225"/>
      <c r="BI28" s="229"/>
      <c r="BL28" s="228"/>
      <c r="BM28" s="228"/>
      <c r="BN28" s="228"/>
      <c r="BO28" s="228"/>
      <c r="BP28" s="228"/>
      <c r="BQ28" s="228"/>
      <c r="BR28" s="228"/>
      <c r="BS28" s="228"/>
    </row>
    <row r="29" spans="1:71" ht="12.9" thickBot="1">
      <c r="A29" s="245" t="s">
        <v>374</v>
      </c>
      <c r="B29" s="242">
        <f>Application!D100</f>
        <v>0</v>
      </c>
      <c r="C29" s="231"/>
      <c r="D29" s="243"/>
      <c r="E29" s="914"/>
      <c r="F29" s="904">
        <f>IF(F28&gt;3,3,F28)</f>
        <v>0.2</v>
      </c>
      <c r="G29" s="231"/>
      <c r="H29" s="231"/>
      <c r="I29" s="231"/>
      <c r="K29" s="227"/>
      <c r="L29" s="232"/>
      <c r="M29" s="232"/>
      <c r="O29" s="228"/>
      <c r="P29" s="228"/>
      <c r="Q29" s="228"/>
      <c r="R29" s="225"/>
      <c r="S29" s="225"/>
      <c r="AJ29" s="899"/>
      <c r="AK29" s="898"/>
      <c r="AL29" s="226"/>
      <c r="AQ29" s="226"/>
      <c r="AR29" s="225"/>
      <c r="AS29" s="225"/>
      <c r="AY29" s="226"/>
      <c r="AZ29" s="228"/>
      <c r="BA29" s="228"/>
      <c r="BB29" s="228"/>
      <c r="BC29" s="228"/>
      <c r="BD29" s="228"/>
      <c r="BE29" s="228"/>
      <c r="BF29" s="225"/>
      <c r="BG29" s="228"/>
      <c r="BH29" s="228"/>
      <c r="BI29" s="228"/>
      <c r="BJ29" s="228"/>
      <c r="BL29" s="228"/>
      <c r="BM29" s="228"/>
      <c r="BN29" s="228"/>
      <c r="BO29" s="228"/>
      <c r="BP29" s="228"/>
      <c r="BQ29" s="228"/>
      <c r="BR29" s="228"/>
      <c r="BS29" s="228"/>
    </row>
    <row r="30" spans="1:71" ht="12.9" thickBot="1">
      <c r="A30" s="245" t="s">
        <v>1457</v>
      </c>
      <c r="B30" s="242">
        <f>Application!D111</f>
        <v>0</v>
      </c>
      <c r="C30" s="231"/>
      <c r="D30" s="243"/>
      <c r="E30" s="914"/>
      <c r="F30" s="905"/>
      <c r="G30" s="231"/>
      <c r="H30" s="231"/>
      <c r="I30" s="231"/>
      <c r="K30" s="227"/>
      <c r="L30" s="232"/>
      <c r="M30" s="232"/>
      <c r="O30" s="228"/>
      <c r="P30" s="228"/>
      <c r="Q30" s="228"/>
      <c r="R30" s="225"/>
      <c r="AJ30" s="227"/>
      <c r="AK30" s="225"/>
      <c r="AQ30" s="228"/>
      <c r="AR30" s="225"/>
      <c r="AS30" s="225"/>
      <c r="AV30" s="232"/>
      <c r="AY30" s="228"/>
      <c r="AZ30" s="225"/>
      <c r="BA30" s="225"/>
      <c r="BB30" s="225"/>
      <c r="BC30" s="225"/>
      <c r="BD30" s="225"/>
      <c r="BE30" s="225"/>
      <c r="BF30" s="225"/>
      <c r="BG30" s="225"/>
      <c r="BH30" s="225"/>
      <c r="BI30" s="225"/>
      <c r="BJ30" s="225"/>
      <c r="BL30" s="228"/>
      <c r="BM30" s="228"/>
      <c r="BN30" s="228"/>
      <c r="BO30" s="228"/>
      <c r="BP30" s="228"/>
      <c r="BQ30" s="228"/>
      <c r="BR30" s="228"/>
      <c r="BS30" s="228"/>
    </row>
    <row r="31" spans="1:71" ht="12.9" thickBot="1">
      <c r="A31" s="245" t="s">
        <v>1459</v>
      </c>
      <c r="B31" s="242">
        <f>Application!D110</f>
        <v>0</v>
      </c>
      <c r="C31" s="231"/>
      <c r="D31" s="243"/>
      <c r="E31" s="915"/>
      <c r="F31" s="906"/>
      <c r="G31" s="231"/>
      <c r="H31" s="231"/>
      <c r="I31" s="231"/>
      <c r="K31" s="227"/>
      <c r="L31" s="232"/>
      <c r="M31" s="232"/>
      <c r="O31" s="228"/>
      <c r="P31" s="228"/>
      <c r="Q31" s="228"/>
      <c r="R31" s="225"/>
      <c r="AQ31" s="228"/>
      <c r="AR31" s="225"/>
      <c r="AS31" s="225"/>
      <c r="AV31" s="225"/>
      <c r="AY31" s="228"/>
      <c r="AZ31" s="225"/>
      <c r="BA31" s="225"/>
      <c r="BB31" s="225"/>
      <c r="BC31" s="225"/>
      <c r="BD31" s="225"/>
      <c r="BE31" s="225"/>
      <c r="BF31" s="225"/>
      <c r="BG31" s="225"/>
      <c r="BH31" s="225"/>
      <c r="BI31" s="225"/>
      <c r="BJ31" s="225"/>
      <c r="BL31" s="228"/>
      <c r="BM31" s="228"/>
      <c r="BN31" s="228"/>
      <c r="BO31" s="228"/>
      <c r="BP31" s="228"/>
      <c r="BQ31" s="228"/>
      <c r="BR31" s="228"/>
      <c r="BS31" s="228"/>
    </row>
    <row r="32" spans="1:71" ht="12.9" thickBot="1">
      <c r="A32" s="245" t="s">
        <v>1460</v>
      </c>
      <c r="B32" s="242">
        <f>Application!D109</f>
        <v>0</v>
      </c>
      <c r="C32" s="231"/>
      <c r="D32" s="243"/>
      <c r="E32" s="244" t="s">
        <v>1753</v>
      </c>
      <c r="F32" s="237">
        <f>0.75*F29</f>
        <v>0.15000000000000002</v>
      </c>
      <c r="G32" s="231"/>
      <c r="H32" s="231"/>
      <c r="I32" s="231"/>
      <c r="K32" s="227"/>
      <c r="L32" s="232"/>
      <c r="M32" s="232"/>
      <c r="O32" s="222"/>
      <c r="P32" s="222"/>
      <c r="Q32" s="222"/>
      <c r="AQ32" s="228"/>
      <c r="AR32" s="225"/>
      <c r="AS32" s="225"/>
      <c r="AY32" s="228"/>
      <c r="AZ32" s="225"/>
      <c r="BA32" s="225"/>
      <c r="BB32" s="225"/>
      <c r="BC32" s="225"/>
      <c r="BD32" s="225"/>
      <c r="BE32" s="225"/>
      <c r="BF32" s="225"/>
      <c r="BG32" s="225"/>
      <c r="BH32" s="225"/>
      <c r="BI32" s="225"/>
      <c r="BJ32" s="225"/>
      <c r="BL32" s="228"/>
      <c r="BM32" s="228"/>
      <c r="BN32" s="228"/>
      <c r="BO32" s="228"/>
      <c r="BP32" s="228"/>
      <c r="BQ32" s="228"/>
      <c r="BR32" s="228"/>
      <c r="BS32" s="228"/>
    </row>
    <row r="33" spans="1:71" ht="12.9" thickBot="1">
      <c r="A33" s="245" t="s">
        <v>1071</v>
      </c>
      <c r="B33" s="242">
        <f>Application!D119</f>
        <v>0</v>
      </c>
      <c r="C33" s="231"/>
      <c r="D33" s="243"/>
      <c r="E33" s="912" t="s">
        <v>1754</v>
      </c>
      <c r="F33" s="250">
        <f>0.05*LH_-0.15</f>
        <v>-0.15</v>
      </c>
      <c r="G33" s="231"/>
      <c r="H33" s="231"/>
      <c r="I33" s="231"/>
      <c r="K33" s="227"/>
      <c r="L33" s="232"/>
      <c r="M33" s="232"/>
      <c r="P33" s="222"/>
      <c r="Q33" s="222"/>
      <c r="AY33" s="228"/>
      <c r="AZ33" s="225"/>
      <c r="BA33" s="225"/>
      <c r="BB33" s="225"/>
      <c r="BC33" s="225"/>
      <c r="BD33" s="225"/>
      <c r="BE33" s="225"/>
      <c r="BF33" s="225"/>
      <c r="BG33" s="225"/>
      <c r="BH33" s="225"/>
      <c r="BI33" s="225"/>
      <c r="BJ33" s="225"/>
      <c r="BL33" s="228"/>
      <c r="BM33" s="228"/>
      <c r="BN33" s="228"/>
      <c r="BO33" s="228"/>
      <c r="BP33" s="228"/>
      <c r="BQ33" s="228"/>
      <c r="BR33" s="228"/>
      <c r="BS33" s="228"/>
    </row>
    <row r="34" spans="1:71" ht="12.9" thickBot="1">
      <c r="A34" s="245" t="s">
        <v>1072</v>
      </c>
      <c r="B34" s="242">
        <f>Application!D120</f>
        <v>0</v>
      </c>
      <c r="C34" s="231"/>
      <c r="D34" s="243"/>
      <c r="E34" s="914"/>
      <c r="F34" s="251">
        <f>IF(F33&lt;0.15,0.15,F33)</f>
        <v>0.15</v>
      </c>
      <c r="G34" s="231"/>
      <c r="H34" s="231"/>
      <c r="I34" s="231"/>
      <c r="K34" s="227"/>
      <c r="L34" s="232"/>
      <c r="M34" s="232"/>
      <c r="O34" s="228"/>
      <c r="P34" s="225"/>
      <c r="Q34" s="225"/>
      <c r="AH34" s="232"/>
      <c r="AI34" s="232"/>
      <c r="AQ34" s="226"/>
      <c r="AR34" s="226"/>
      <c r="AS34" s="226"/>
      <c r="AY34" s="228"/>
      <c r="AZ34" s="225"/>
      <c r="BA34" s="225"/>
      <c r="BB34" s="225"/>
      <c r="BC34" s="228"/>
      <c r="BD34" s="229"/>
      <c r="BE34" s="252"/>
      <c r="BF34" s="225"/>
      <c r="BG34" s="225"/>
      <c r="BH34" s="225"/>
      <c r="BI34" s="229"/>
      <c r="BL34" s="228"/>
      <c r="BM34" s="228"/>
      <c r="BN34" s="228"/>
      <c r="BO34" s="228"/>
      <c r="BP34" s="228"/>
      <c r="BQ34" s="228"/>
      <c r="BR34" s="228"/>
      <c r="BS34" s="228"/>
    </row>
    <row r="35" spans="1:71" ht="12.9" thickBot="1">
      <c r="A35" s="245" t="s">
        <v>1087</v>
      </c>
      <c r="B35" s="242">
        <f>Application!D123</f>
        <v>0</v>
      </c>
      <c r="C35" s="231"/>
      <c r="D35" s="243"/>
      <c r="E35" s="914"/>
      <c r="F35" s="253">
        <f>0.65*F34</f>
        <v>9.7500000000000003E-2</v>
      </c>
      <c r="G35" s="231"/>
      <c r="H35" s="231"/>
      <c r="I35" s="231"/>
      <c r="K35" s="227"/>
      <c r="L35" s="232"/>
      <c r="M35" s="232"/>
      <c r="O35" s="228"/>
      <c r="P35" s="225"/>
      <c r="Q35" s="225"/>
      <c r="AH35" s="232"/>
      <c r="AI35" s="232"/>
      <c r="AQ35" s="228"/>
      <c r="AR35" s="225"/>
      <c r="AS35" s="225"/>
      <c r="BC35" s="232"/>
      <c r="BD35" s="232"/>
      <c r="BE35" s="248"/>
      <c r="BF35" s="225"/>
      <c r="BG35" s="225"/>
      <c r="BH35" s="225"/>
      <c r="BI35" s="229"/>
      <c r="BL35" s="228"/>
      <c r="BM35" s="228"/>
      <c r="BN35" s="228"/>
      <c r="BO35" s="228"/>
      <c r="BP35" s="228"/>
      <c r="BQ35" s="228"/>
      <c r="BR35" s="228"/>
      <c r="BS35" s="228"/>
    </row>
    <row r="36" spans="1:71" ht="12.9" thickBot="1">
      <c r="A36" s="254" t="s">
        <v>181</v>
      </c>
      <c r="B36" s="242">
        <f>Application!D122</f>
        <v>0</v>
      </c>
      <c r="C36" s="231"/>
      <c r="D36" s="243"/>
      <c r="E36" s="914"/>
      <c r="F36" s="253">
        <f>0.99*F34</f>
        <v>0.14849999999999999</v>
      </c>
      <c r="G36" s="231"/>
      <c r="H36" s="231"/>
      <c r="I36" s="231"/>
      <c r="K36" s="227"/>
      <c r="L36" s="232"/>
      <c r="M36" s="232"/>
      <c r="O36" s="228"/>
      <c r="P36" s="225"/>
      <c r="Q36" s="225"/>
      <c r="R36" s="225"/>
      <c r="AH36" s="232"/>
      <c r="AI36" s="232"/>
      <c r="AQ36" s="225"/>
      <c r="AR36" s="225"/>
      <c r="AS36" s="225"/>
      <c r="BC36" s="232"/>
      <c r="BD36" s="232"/>
      <c r="BE36" s="248"/>
      <c r="BL36" s="228"/>
      <c r="BM36" s="228"/>
      <c r="BN36" s="228"/>
      <c r="BO36" s="228"/>
      <c r="BP36" s="228"/>
      <c r="BQ36" s="228"/>
      <c r="BR36" s="228"/>
      <c r="BS36" s="228"/>
    </row>
    <row r="37" spans="1:71" ht="12.9" thickBot="1">
      <c r="A37" s="256" t="s">
        <v>2479</v>
      </c>
      <c r="B37" s="242">
        <f>Application!D121</f>
        <v>0</v>
      </c>
      <c r="C37" s="231"/>
      <c r="D37" s="243"/>
      <c r="E37" s="914"/>
      <c r="F37" s="253">
        <f>0.99*F34</f>
        <v>0.14849999999999999</v>
      </c>
      <c r="G37" s="231"/>
      <c r="H37" s="231"/>
      <c r="I37" s="231"/>
      <c r="K37" s="227"/>
      <c r="L37" s="232"/>
      <c r="M37" s="232"/>
      <c r="O37" s="228"/>
      <c r="P37" s="225"/>
      <c r="Q37" s="225"/>
      <c r="R37" s="225"/>
      <c r="AH37" s="232"/>
      <c r="AI37" s="232"/>
      <c r="AQ37" s="225"/>
      <c r="AR37" s="225"/>
      <c r="AS37" s="225"/>
      <c r="BL37" s="228"/>
      <c r="BM37" s="228"/>
      <c r="BN37" s="228"/>
      <c r="BO37" s="228"/>
      <c r="BP37" s="228"/>
      <c r="BQ37" s="228"/>
      <c r="BR37" s="228"/>
      <c r="BS37" s="228"/>
    </row>
    <row r="38" spans="1:71" ht="12.9" thickBot="1">
      <c r="A38" s="256" t="s">
        <v>174</v>
      </c>
      <c r="B38" s="255">
        <f>IF(B111&gt;0.09,B111,0.09)</f>
        <v>0.09</v>
      </c>
      <c r="C38" s="231"/>
      <c r="D38" s="243"/>
      <c r="E38" s="915"/>
      <c r="F38" s="253">
        <f>0.56*F34</f>
        <v>8.4000000000000005E-2</v>
      </c>
      <c r="G38" s="231"/>
      <c r="H38" s="231"/>
      <c r="I38" s="231"/>
      <c r="K38" s="227"/>
      <c r="L38" s="232"/>
      <c r="M38" s="232"/>
      <c r="O38" s="228"/>
      <c r="P38" s="225"/>
      <c r="Q38" s="225"/>
      <c r="R38" s="225"/>
      <c r="AH38" s="232"/>
      <c r="AI38" s="232"/>
      <c r="AJ38" s="229"/>
      <c r="AK38" s="229"/>
      <c r="AL38" s="229"/>
      <c r="AQ38" s="225"/>
      <c r="AR38" s="225"/>
      <c r="AS38" s="225"/>
      <c r="BL38" s="228"/>
      <c r="BM38" s="228"/>
      <c r="BN38" s="228"/>
      <c r="BO38" s="228"/>
      <c r="BP38" s="228"/>
      <c r="BQ38" s="228"/>
      <c r="BR38" s="228"/>
      <c r="BS38" s="228"/>
    </row>
    <row r="39" spans="1:71" ht="12.9" thickBot="1">
      <c r="A39" s="254" t="s">
        <v>1755</v>
      </c>
      <c r="B39" s="276" t="b">
        <f>Application!E354</f>
        <v>0</v>
      </c>
      <c r="C39" s="231"/>
      <c r="D39" s="243"/>
      <c r="E39" s="912" t="s">
        <v>1756</v>
      </c>
      <c r="F39" s="900">
        <f>IF(0.015*LH_+0.08&gt;0.9,0.9,IF(0.015*LH_+0.08&lt;0.1,0.1,0.015*LH_+0.08))</f>
        <v>0.1</v>
      </c>
      <c r="G39" s="231"/>
      <c r="H39" s="231"/>
      <c r="I39" s="231"/>
      <c r="K39" s="227"/>
      <c r="L39" s="232"/>
      <c r="M39" s="232"/>
      <c r="O39" s="228"/>
      <c r="P39" s="225"/>
      <c r="Q39" s="225"/>
      <c r="R39" s="225"/>
      <c r="AH39" s="232"/>
      <c r="AI39" s="232"/>
      <c r="AJ39" s="229"/>
      <c r="AK39" s="229"/>
      <c r="AL39" s="229"/>
      <c r="BL39" s="228"/>
      <c r="BM39" s="228"/>
      <c r="BN39" s="228"/>
      <c r="BO39" s="228"/>
      <c r="BP39" s="228"/>
      <c r="BQ39" s="228"/>
      <c r="BR39" s="228"/>
      <c r="BS39" s="228"/>
    </row>
    <row r="40" spans="1:71" ht="12.9" thickBot="1">
      <c r="A40" s="256" t="s">
        <v>944</v>
      </c>
      <c r="B40" s="255">
        <f>Application!D101</f>
        <v>0</v>
      </c>
      <c r="C40" s="231"/>
      <c r="D40" s="243"/>
      <c r="E40" s="905"/>
      <c r="F40" s="901"/>
      <c r="G40" s="231"/>
      <c r="H40" s="231"/>
      <c r="I40" s="231"/>
      <c r="K40" s="227"/>
      <c r="L40" s="232"/>
      <c r="M40" s="232"/>
      <c r="O40" s="228"/>
      <c r="P40" s="225"/>
      <c r="Q40" s="225"/>
      <c r="R40" s="225"/>
      <c r="AH40" s="232"/>
      <c r="AI40" s="232"/>
      <c r="AJ40" s="229"/>
      <c r="AK40" s="252"/>
      <c r="AL40" s="252"/>
      <c r="AQ40" s="228"/>
      <c r="AR40" s="228"/>
      <c r="AS40" s="228"/>
      <c r="BL40" s="228"/>
      <c r="BM40" s="228"/>
      <c r="BN40" s="228"/>
      <c r="BO40" s="228"/>
      <c r="BP40" s="228"/>
      <c r="BQ40" s="228"/>
      <c r="BR40" s="228"/>
      <c r="BS40" s="228"/>
    </row>
    <row r="41" spans="1:71" ht="12.9" thickBot="1">
      <c r="A41" s="256" t="s">
        <v>1757</v>
      </c>
      <c r="B41" s="242">
        <f>Application!D165</f>
        <v>0</v>
      </c>
      <c r="C41" s="257"/>
      <c r="D41" s="258"/>
      <c r="E41" s="906"/>
      <c r="F41" s="902"/>
      <c r="G41" s="257"/>
      <c r="H41" s="257"/>
      <c r="I41" s="257"/>
      <c r="K41" s="227"/>
      <c r="L41" s="232"/>
      <c r="M41" s="232"/>
      <c r="O41" s="228"/>
      <c r="P41" s="225"/>
      <c r="Q41" s="225"/>
      <c r="R41" s="225"/>
      <c r="AH41" s="232"/>
      <c r="AI41" s="232"/>
      <c r="AJ41" s="229"/>
      <c r="AK41" s="252"/>
      <c r="AL41" s="252"/>
      <c r="AQ41" s="228"/>
      <c r="AR41" s="228"/>
      <c r="AS41" s="228"/>
      <c r="BD41" s="228"/>
      <c r="BE41" s="228"/>
      <c r="BF41" s="228"/>
      <c r="BG41" s="228"/>
      <c r="BH41" s="228"/>
      <c r="BI41" s="228"/>
      <c r="BJ41" s="228"/>
      <c r="BK41" s="228"/>
      <c r="BL41" s="228"/>
      <c r="BM41" s="228"/>
      <c r="BN41" s="228"/>
      <c r="BO41" s="228"/>
      <c r="BP41" s="228"/>
      <c r="BQ41" s="228"/>
      <c r="BR41" s="228"/>
      <c r="BS41" s="228"/>
    </row>
    <row r="42" spans="1:71">
      <c r="A42" s="227"/>
      <c r="B42" s="226"/>
      <c r="C42" s="226"/>
      <c r="D42" s="259"/>
      <c r="E42" s="916" t="s">
        <v>1758</v>
      </c>
      <c r="F42" s="237">
        <f>LH_-J_-F18</f>
        <v>0</v>
      </c>
      <c r="G42" s="226"/>
      <c r="H42" s="226"/>
      <c r="I42" s="226"/>
      <c r="K42" s="227"/>
      <c r="L42" s="232"/>
      <c r="M42" s="232"/>
      <c r="O42" s="228"/>
      <c r="P42" s="225"/>
      <c r="Q42" s="225"/>
      <c r="R42" s="225"/>
      <c r="AH42" s="232"/>
      <c r="AI42" s="232"/>
      <c r="AJ42" s="229"/>
      <c r="AK42" s="252"/>
      <c r="AL42" s="252"/>
      <c r="AQ42" s="225"/>
      <c r="AR42" s="225"/>
      <c r="AS42" s="228"/>
      <c r="BD42" s="228"/>
      <c r="BE42" s="228"/>
      <c r="BF42" s="228"/>
      <c r="BG42" s="228"/>
      <c r="BH42" s="228"/>
      <c r="BI42" s="228"/>
      <c r="BJ42" s="228"/>
      <c r="BK42" s="228"/>
      <c r="BL42" s="228"/>
      <c r="BM42" s="228"/>
      <c r="BN42" s="228"/>
      <c r="BO42" s="228"/>
      <c r="BP42" s="228"/>
      <c r="BQ42" s="228"/>
      <c r="BR42" s="228"/>
      <c r="BS42" s="228"/>
    </row>
    <row r="43" spans="1:71">
      <c r="E43" s="917"/>
      <c r="F43" s="237">
        <v>0</v>
      </c>
      <c r="K43" s="227"/>
      <c r="L43" s="232"/>
      <c r="M43" s="232"/>
      <c r="O43" s="228"/>
      <c r="P43" s="225"/>
      <c r="Q43" s="225"/>
      <c r="R43" s="225"/>
      <c r="AH43" s="232"/>
      <c r="AI43" s="232"/>
      <c r="AJ43" s="229"/>
      <c r="AK43" s="252"/>
      <c r="AL43" s="252"/>
      <c r="AQ43" s="225"/>
      <c r="AR43" s="225"/>
      <c r="AS43" s="228"/>
      <c r="BD43" s="228"/>
      <c r="BE43" s="228"/>
      <c r="BF43" s="228"/>
      <c r="BG43" s="228"/>
      <c r="BH43" s="228"/>
      <c r="BI43" s="228"/>
      <c r="BJ43" s="228"/>
      <c r="BK43" s="228"/>
      <c r="BL43" s="228"/>
      <c r="BM43" s="228"/>
      <c r="BN43" s="228"/>
      <c r="BO43" s="228"/>
      <c r="BP43" s="228"/>
      <c r="BQ43" s="228"/>
      <c r="BR43" s="228"/>
      <c r="BS43" s="228"/>
    </row>
    <row r="44" spans="1:71">
      <c r="E44" s="236" t="s">
        <v>1759</v>
      </c>
      <c r="F44" s="237">
        <f>F17*PI()/180</f>
        <v>2.6179938779914941E-2</v>
      </c>
      <c r="K44" s="227"/>
      <c r="L44" s="232"/>
      <c r="M44" s="232"/>
      <c r="O44" s="228"/>
      <c r="P44" s="225"/>
      <c r="Q44" s="225"/>
      <c r="R44" s="225"/>
      <c r="AH44" s="232"/>
      <c r="AI44" s="232"/>
      <c r="AJ44" s="252"/>
      <c r="AK44" s="260"/>
      <c r="AL44" s="252"/>
      <c r="AQ44" s="225"/>
      <c r="AR44" s="225"/>
      <c r="AS44" s="228"/>
      <c r="BD44" s="228"/>
      <c r="BE44" s="228"/>
      <c r="BF44" s="228"/>
      <c r="BG44" s="228"/>
      <c r="BH44" s="228"/>
      <c r="BI44" s="228"/>
      <c r="BJ44" s="228"/>
      <c r="BK44" s="228"/>
      <c r="BL44" s="228"/>
      <c r="BM44" s="228"/>
      <c r="BN44" s="228"/>
      <c r="BO44" s="228"/>
      <c r="BP44" s="228"/>
      <c r="BQ44" s="228"/>
      <c r="BR44" s="228"/>
      <c r="BS44" s="228"/>
    </row>
    <row r="45" spans="1:71">
      <c r="E45" s="261" t="s">
        <v>1760</v>
      </c>
      <c r="F45" s="237" t="e">
        <f>F21*PI()/180</f>
        <v>#DIV/0!</v>
      </c>
      <c r="O45" s="228"/>
      <c r="P45" s="225"/>
      <c r="Q45" s="225"/>
      <c r="R45" s="225"/>
      <c r="AH45" s="232"/>
      <c r="AI45" s="232"/>
      <c r="AJ45" s="252"/>
      <c r="AK45" s="252"/>
      <c r="AL45" s="248"/>
      <c r="AQ45" s="228"/>
      <c r="AR45" s="225"/>
      <c r="AS45" s="228"/>
      <c r="BD45" s="228"/>
      <c r="BE45" s="228"/>
      <c r="BF45" s="228"/>
      <c r="BG45" s="228"/>
      <c r="BH45" s="228"/>
      <c r="BI45" s="228"/>
      <c r="BJ45" s="228"/>
      <c r="BK45" s="228"/>
      <c r="BL45" s="228"/>
      <c r="BM45" s="228"/>
      <c r="BN45" s="228"/>
      <c r="BO45" s="228"/>
      <c r="BP45" s="228"/>
      <c r="BQ45" s="228"/>
      <c r="BR45" s="228"/>
      <c r="BS45" s="228"/>
    </row>
    <row r="46" spans="1:71">
      <c r="A46" s="227"/>
      <c r="B46" s="226"/>
      <c r="C46" s="226"/>
      <c r="D46" s="259"/>
      <c r="E46" s="912" t="s">
        <v>1761</v>
      </c>
      <c r="F46" s="237">
        <f>LH_-F18</f>
        <v>0</v>
      </c>
      <c r="G46" s="226"/>
      <c r="H46" s="226"/>
      <c r="I46" s="226"/>
      <c r="M46" s="252"/>
      <c r="O46" s="228"/>
      <c r="P46" s="225"/>
      <c r="Q46" s="225"/>
      <c r="R46" s="225"/>
      <c r="AH46" s="232"/>
      <c r="AI46" s="232"/>
      <c r="AJ46" s="252"/>
      <c r="AK46" s="252"/>
      <c r="AL46" s="248"/>
      <c r="AS46" s="228"/>
      <c r="BD46" s="228"/>
      <c r="BE46" s="228"/>
      <c r="BF46" s="228"/>
      <c r="BG46" s="228"/>
      <c r="BH46" s="228"/>
      <c r="BI46" s="228"/>
      <c r="BJ46" s="228"/>
      <c r="BK46" s="228"/>
      <c r="BL46" s="228"/>
      <c r="BM46" s="228"/>
      <c r="BN46" s="228"/>
      <c r="BO46" s="228"/>
      <c r="BP46" s="228"/>
      <c r="BQ46" s="228"/>
      <c r="BR46" s="228"/>
      <c r="BS46" s="228"/>
    </row>
    <row r="47" spans="1:71">
      <c r="B47" s="226"/>
      <c r="C47" s="226"/>
      <c r="D47" s="259"/>
      <c r="E47" s="914"/>
      <c r="F47" s="237">
        <f>F42</f>
        <v>0</v>
      </c>
      <c r="G47" s="226"/>
      <c r="H47" s="226"/>
      <c r="I47" s="226"/>
      <c r="K47" s="229"/>
      <c r="L47" s="252"/>
      <c r="M47" s="252"/>
      <c r="N47" s="232"/>
      <c r="O47" s="222"/>
      <c r="P47" s="222"/>
      <c r="Q47" s="222"/>
      <c r="AH47" s="232"/>
      <c r="AI47" s="232"/>
      <c r="AJ47" s="252"/>
      <c r="AK47" s="252"/>
      <c r="BD47" s="228"/>
      <c r="BE47" s="228"/>
      <c r="BF47" s="228"/>
      <c r="BG47" s="228"/>
      <c r="BH47" s="228"/>
      <c r="BI47" s="228"/>
      <c r="BJ47" s="228"/>
      <c r="BK47" s="228"/>
      <c r="BL47" s="228"/>
      <c r="BM47" s="228"/>
      <c r="BN47" s="228"/>
      <c r="BO47" s="228"/>
      <c r="BP47" s="228"/>
      <c r="BQ47" s="228"/>
      <c r="BR47" s="228"/>
      <c r="BS47" s="228"/>
    </row>
    <row r="48" spans="1:71">
      <c r="A48" s="229"/>
      <c r="B48" s="226"/>
      <c r="C48" s="226"/>
      <c r="D48" s="259"/>
      <c r="E48" s="914"/>
      <c r="F48" s="237">
        <v>0</v>
      </c>
      <c r="G48" s="226"/>
      <c r="H48" s="226"/>
      <c r="I48" s="226"/>
      <c r="K48" s="226"/>
      <c r="O48" s="222"/>
      <c r="P48" s="222"/>
      <c r="Q48" s="222"/>
      <c r="AH48" s="232"/>
      <c r="AI48" s="232"/>
      <c r="AQ48" s="226"/>
      <c r="AR48" s="228"/>
      <c r="AS48" s="228"/>
      <c r="BD48" s="228"/>
      <c r="BE48" s="228"/>
      <c r="BF48" s="228"/>
      <c r="BG48" s="228"/>
      <c r="BH48" s="228"/>
      <c r="BI48" s="228"/>
      <c r="BJ48" s="228"/>
      <c r="BK48" s="228"/>
      <c r="BL48" s="228"/>
      <c r="BM48" s="228"/>
      <c r="BN48" s="228"/>
      <c r="BO48" s="228"/>
      <c r="BP48" s="228"/>
      <c r="BQ48" s="228"/>
      <c r="BR48" s="228"/>
      <c r="BS48" s="228"/>
    </row>
    <row r="49" spans="1:71">
      <c r="A49" s="227"/>
      <c r="B49" s="226"/>
      <c r="C49" s="226"/>
      <c r="D49" s="259"/>
      <c r="E49" s="914"/>
      <c r="F49" s="237">
        <f>(FL_^2-J_^2)^0.5</f>
        <v>0</v>
      </c>
      <c r="G49" s="226"/>
      <c r="H49" s="226"/>
      <c r="I49" s="226"/>
      <c r="K49" s="897"/>
      <c r="L49" s="898"/>
      <c r="M49" s="229"/>
      <c r="O49" s="222"/>
      <c r="P49" s="229"/>
      <c r="Q49" s="262"/>
      <c r="AH49" s="232"/>
      <c r="AI49" s="232"/>
      <c r="AQ49" s="228"/>
      <c r="AR49" s="231"/>
      <c r="AS49" s="231"/>
      <c r="BD49" s="228"/>
      <c r="BE49" s="228"/>
      <c r="BF49" s="228"/>
      <c r="BG49" s="228"/>
      <c r="BH49" s="228"/>
      <c r="BI49" s="228"/>
      <c r="BJ49" s="228"/>
      <c r="BK49" s="228"/>
      <c r="BL49" s="228"/>
      <c r="BM49" s="228"/>
      <c r="BN49" s="228"/>
      <c r="BO49" s="228"/>
      <c r="BP49" s="228"/>
      <c r="BQ49" s="228"/>
      <c r="BR49" s="228"/>
      <c r="BS49" s="228"/>
    </row>
    <row r="50" spans="1:71">
      <c r="A50" s="227"/>
      <c r="B50" s="226"/>
      <c r="C50" s="226"/>
      <c r="D50" s="259"/>
      <c r="E50" s="918"/>
      <c r="F50" s="237">
        <v>0</v>
      </c>
      <c r="G50" s="226"/>
      <c r="H50" s="226"/>
      <c r="I50" s="226"/>
      <c r="O50" s="222"/>
      <c r="P50" s="229"/>
      <c r="Q50" s="252"/>
      <c r="AH50" s="232"/>
      <c r="AI50" s="232"/>
      <c r="AQ50" s="228"/>
      <c r="AR50" s="231"/>
      <c r="AS50" s="231"/>
      <c r="BD50" s="228"/>
      <c r="BE50" s="228"/>
      <c r="BF50" s="228"/>
      <c r="BG50" s="228"/>
      <c r="BH50" s="228"/>
      <c r="BI50" s="228"/>
      <c r="BJ50" s="228"/>
      <c r="BK50" s="228"/>
      <c r="BL50" s="228"/>
      <c r="BM50" s="228"/>
      <c r="BN50" s="228"/>
      <c r="BO50" s="228"/>
      <c r="BP50" s="228"/>
      <c r="BQ50" s="228"/>
      <c r="BR50" s="228"/>
      <c r="BS50" s="228"/>
    </row>
    <row r="51" spans="1:71">
      <c r="A51" s="227"/>
      <c r="B51" s="263"/>
      <c r="C51" s="263"/>
      <c r="D51" s="264"/>
      <c r="E51" s="918"/>
      <c r="F51" s="237">
        <f>F49-F43</f>
        <v>0</v>
      </c>
      <c r="G51" s="263"/>
      <c r="H51" s="263"/>
      <c r="I51" s="263"/>
      <c r="O51" s="222"/>
      <c r="P51" s="229"/>
      <c r="Q51" s="252"/>
      <c r="AH51" s="232"/>
      <c r="AI51" s="232"/>
      <c r="AM51" s="265"/>
      <c r="AQ51" s="248"/>
      <c r="AR51" s="225"/>
      <c r="AS51" s="225"/>
      <c r="AT51" s="226"/>
      <c r="BD51" s="228"/>
      <c r="BE51" s="228"/>
      <c r="BF51" s="228"/>
      <c r="BG51" s="228"/>
      <c r="BH51" s="228"/>
      <c r="BI51" s="228"/>
      <c r="BJ51" s="228"/>
      <c r="BK51" s="228"/>
      <c r="BL51" s="228"/>
      <c r="BM51" s="228"/>
      <c r="BN51" s="228"/>
      <c r="BO51" s="228"/>
      <c r="BP51" s="228"/>
      <c r="BQ51" s="228"/>
      <c r="BR51" s="228"/>
      <c r="BS51" s="228"/>
    </row>
    <row r="52" spans="1:71">
      <c r="E52" s="918"/>
      <c r="F52" s="237">
        <f>F46</f>
        <v>0</v>
      </c>
      <c r="K52" s="266"/>
      <c r="O52" s="222"/>
      <c r="P52" s="229"/>
      <c r="Q52" s="252"/>
      <c r="AH52" s="232"/>
      <c r="AI52" s="232"/>
      <c r="AM52" s="265"/>
      <c r="AQ52" s="248"/>
      <c r="AR52" s="225"/>
      <c r="AS52" s="225"/>
      <c r="AT52" s="225"/>
      <c r="AU52" s="229"/>
      <c r="BD52" s="228"/>
      <c r="BE52" s="228"/>
      <c r="BF52" s="228"/>
      <c r="BG52" s="228"/>
      <c r="BH52" s="228"/>
      <c r="BI52" s="228"/>
      <c r="BJ52" s="228"/>
      <c r="BK52" s="228"/>
      <c r="BL52" s="228"/>
      <c r="BM52" s="228"/>
      <c r="BN52" s="228"/>
      <c r="BO52" s="228"/>
      <c r="BP52" s="228"/>
      <c r="BQ52" s="228"/>
      <c r="BR52" s="228"/>
      <c r="BS52" s="228"/>
    </row>
    <row r="53" spans="1:71">
      <c r="E53" s="918"/>
      <c r="F53" s="237">
        <f>F48</f>
        <v>0</v>
      </c>
      <c r="K53" s="266"/>
      <c r="O53" s="222"/>
      <c r="P53" s="229"/>
      <c r="Q53" s="252"/>
      <c r="AH53" s="232"/>
      <c r="AI53" s="232"/>
      <c r="AM53" s="265"/>
      <c r="AQ53" s="228"/>
      <c r="AR53" s="225"/>
      <c r="AS53" s="225"/>
      <c r="AT53" s="228"/>
      <c r="BD53" s="228"/>
      <c r="BE53" s="228"/>
      <c r="BF53" s="228"/>
      <c r="BG53" s="228"/>
      <c r="BH53" s="228"/>
      <c r="BI53" s="228"/>
      <c r="BJ53" s="228"/>
      <c r="BK53" s="228"/>
      <c r="BL53" s="228"/>
      <c r="BM53" s="228"/>
      <c r="BN53" s="228"/>
      <c r="BO53" s="228"/>
      <c r="BP53" s="228"/>
      <c r="BQ53" s="228"/>
      <c r="BR53" s="228"/>
      <c r="BS53" s="228"/>
    </row>
    <row r="54" spans="1:71">
      <c r="E54" s="918"/>
      <c r="F54" s="237">
        <f>F50*COS(F44)-F49*SIN(F44)+F42</f>
        <v>0</v>
      </c>
      <c r="L54" s="229"/>
      <c r="M54" s="262"/>
      <c r="N54" s="262"/>
      <c r="O54" s="222"/>
      <c r="P54" s="229"/>
      <c r="Q54" s="252"/>
      <c r="AH54" s="232"/>
      <c r="AI54" s="232"/>
      <c r="AM54" s="265"/>
      <c r="AQ54" s="226"/>
      <c r="AR54" s="225"/>
      <c r="AS54" s="225"/>
      <c r="AT54" s="228"/>
      <c r="BD54" s="228"/>
      <c r="BE54" s="228"/>
      <c r="BF54" s="228"/>
      <c r="BG54" s="228"/>
      <c r="BH54" s="228"/>
      <c r="BI54" s="228"/>
      <c r="BJ54" s="228"/>
      <c r="BK54" s="228"/>
      <c r="BL54" s="228"/>
      <c r="BM54" s="228"/>
      <c r="BN54" s="228"/>
      <c r="BO54" s="228"/>
      <c r="BP54" s="228"/>
      <c r="BQ54" s="228"/>
      <c r="BR54" s="228"/>
      <c r="BS54" s="228"/>
    </row>
    <row r="55" spans="1:71">
      <c r="E55" s="919"/>
      <c r="F55" s="237">
        <f>F50*SIN(F44)+F51*COS(F44)+F43</f>
        <v>0</v>
      </c>
      <c r="L55" s="229"/>
      <c r="M55" s="252"/>
      <c r="N55" s="229"/>
      <c r="O55" s="222"/>
      <c r="P55" s="229"/>
      <c r="Q55" s="252"/>
      <c r="AH55" s="232"/>
      <c r="AI55" s="232"/>
      <c r="AM55" s="265"/>
      <c r="AQ55" s="228"/>
      <c r="AR55" s="231"/>
      <c r="AS55" s="231"/>
      <c r="AT55" s="228"/>
      <c r="BD55" s="228"/>
      <c r="BE55" s="228"/>
      <c r="BF55" s="228"/>
      <c r="BG55" s="228"/>
      <c r="BH55" s="228"/>
      <c r="BI55" s="228"/>
      <c r="BJ55" s="228"/>
      <c r="BK55" s="228"/>
      <c r="BL55" s="228"/>
      <c r="BM55" s="228"/>
      <c r="BN55" s="228"/>
      <c r="BO55" s="228"/>
      <c r="BP55" s="228"/>
      <c r="BQ55" s="228"/>
      <c r="BR55" s="228"/>
      <c r="BS55" s="228"/>
    </row>
    <row r="56" spans="1:71">
      <c r="E56" s="909" t="s">
        <v>1762</v>
      </c>
      <c r="F56" s="237">
        <f>((F52-F54)^2+(F53-F55)^2)^0.5</f>
        <v>0</v>
      </c>
      <c r="L56" s="229"/>
      <c r="M56" s="252"/>
      <c r="N56" s="252"/>
      <c r="O56" s="222"/>
      <c r="P56" s="229"/>
      <c r="Q56" s="260"/>
      <c r="AH56" s="232"/>
      <c r="AI56" s="232"/>
      <c r="AM56" s="265"/>
      <c r="AQ56" s="228"/>
      <c r="AR56" s="231"/>
      <c r="AS56" s="231"/>
      <c r="AT56" s="228"/>
      <c r="BD56" s="228"/>
      <c r="BE56" s="228"/>
      <c r="BF56" s="228"/>
      <c r="BG56" s="228"/>
      <c r="BH56" s="228"/>
      <c r="BI56" s="228"/>
      <c r="BJ56" s="228"/>
      <c r="BK56" s="228"/>
      <c r="BL56" s="228"/>
      <c r="BM56" s="228"/>
      <c r="BN56" s="228"/>
      <c r="BO56" s="228"/>
      <c r="BP56" s="228"/>
      <c r="BQ56" s="228"/>
      <c r="BR56" s="228"/>
      <c r="BS56" s="228"/>
    </row>
    <row r="57" spans="1:71">
      <c r="E57" s="913"/>
      <c r="F57" s="237">
        <f>F52-F54</f>
        <v>0</v>
      </c>
      <c r="L57" s="229"/>
      <c r="M57" s="252"/>
      <c r="N57" s="229"/>
      <c r="O57" s="222"/>
      <c r="P57" s="229"/>
      <c r="Q57" s="229"/>
      <c r="AH57" s="232"/>
      <c r="AI57" s="232"/>
      <c r="AQ57" s="248"/>
      <c r="AR57" s="225"/>
      <c r="AS57" s="225"/>
      <c r="AT57" s="226"/>
      <c r="BD57" s="228"/>
      <c r="BE57" s="228"/>
      <c r="BF57" s="228"/>
      <c r="BG57" s="228"/>
      <c r="BH57" s="228"/>
      <c r="BI57" s="228"/>
      <c r="BJ57" s="228"/>
      <c r="BK57" s="228"/>
      <c r="BL57" s="228"/>
      <c r="BM57" s="228"/>
      <c r="BN57" s="228"/>
      <c r="BO57" s="228"/>
      <c r="BP57" s="228"/>
      <c r="BQ57" s="228"/>
      <c r="BR57" s="228"/>
      <c r="BS57" s="228"/>
    </row>
    <row r="58" spans="1:71">
      <c r="A58" s="226"/>
      <c r="B58" s="267" t="s">
        <v>3785</v>
      </c>
      <c r="C58" s="268" t="s">
        <v>3786</v>
      </c>
      <c r="D58" s="226"/>
      <c r="E58" s="913"/>
      <c r="F58" s="237" t="e">
        <f>ACOS(F57/F56)</f>
        <v>#DIV/0!</v>
      </c>
      <c r="H58" s="229"/>
      <c r="I58" s="252"/>
      <c r="J58" s="225"/>
      <c r="K58" s="228"/>
      <c r="L58" s="222"/>
      <c r="O58" s="222"/>
      <c r="P58" s="222"/>
      <c r="Q58" s="222"/>
      <c r="R58" s="222"/>
      <c r="S58" s="222"/>
      <c r="Z58" s="232"/>
      <c r="AA58" s="232"/>
      <c r="AI58" s="248"/>
      <c r="AJ58" s="225"/>
      <c r="AK58" s="225"/>
      <c r="AL58" s="225"/>
      <c r="AM58" s="229"/>
      <c r="AV58" s="228"/>
      <c r="AW58" s="228"/>
      <c r="AX58" s="228"/>
      <c r="AY58" s="228"/>
      <c r="AZ58" s="228"/>
      <c r="BA58" s="228"/>
      <c r="BB58" s="228"/>
      <c r="BC58" s="228"/>
      <c r="BD58" s="228"/>
      <c r="BE58" s="228"/>
      <c r="BF58" s="228"/>
      <c r="BG58" s="228"/>
      <c r="BH58" s="228"/>
      <c r="BI58" s="228"/>
      <c r="BJ58" s="228"/>
      <c r="BK58" s="228"/>
    </row>
    <row r="59" spans="1:71">
      <c r="A59" s="245" t="s">
        <v>1763</v>
      </c>
      <c r="B59" s="269">
        <f>F163</f>
        <v>0</v>
      </c>
      <c r="C59" s="269">
        <f>F165</f>
        <v>-0.2</v>
      </c>
      <c r="D59" s="227"/>
      <c r="E59" s="911" t="s">
        <v>1072</v>
      </c>
      <c r="F59" s="237" t="e">
        <f>LH_-LP_/TAN(F45)*COS(F45)-F18</f>
        <v>#DIV/0!</v>
      </c>
      <c r="H59" s="229"/>
      <c r="I59" s="252"/>
      <c r="J59" s="225"/>
      <c r="K59" s="228"/>
      <c r="L59" s="222"/>
      <c r="O59" s="222"/>
      <c r="P59" s="222"/>
      <c r="Q59" s="222"/>
      <c r="R59" s="222"/>
      <c r="S59" s="222"/>
      <c r="Z59" s="232"/>
      <c r="AA59" s="232"/>
      <c r="AI59" s="228"/>
      <c r="AJ59" s="225"/>
      <c r="AK59" s="225"/>
      <c r="AL59" s="228"/>
      <c r="AM59" s="229"/>
      <c r="AV59" s="228"/>
      <c r="AW59" s="228"/>
      <c r="AX59" s="228"/>
      <c r="AY59" s="228"/>
      <c r="AZ59" s="228"/>
      <c r="BA59" s="228"/>
      <c r="BB59" s="228"/>
      <c r="BC59" s="228"/>
      <c r="BD59" s="228"/>
      <c r="BE59" s="228"/>
      <c r="BF59" s="228"/>
      <c r="BG59" s="228"/>
      <c r="BH59" s="228"/>
      <c r="BI59" s="228"/>
      <c r="BJ59" s="228"/>
      <c r="BK59" s="228"/>
    </row>
    <row r="60" spans="1:71">
      <c r="A60" s="245"/>
      <c r="B60" s="269">
        <f>F164</f>
        <v>0</v>
      </c>
      <c r="C60" s="269">
        <f>F166</f>
        <v>-4.9999999999999989E-2</v>
      </c>
      <c r="D60" s="227"/>
      <c r="E60" s="913"/>
      <c r="F60" s="237" t="e">
        <f>LH_-LP_/SIN(F45)-F18</f>
        <v>#DIV/0!</v>
      </c>
      <c r="G60" s="226"/>
      <c r="H60" s="232"/>
      <c r="I60" s="232"/>
      <c r="J60" s="228"/>
      <c r="K60" s="228"/>
      <c r="L60" s="222"/>
      <c r="O60" s="222"/>
      <c r="P60" s="222"/>
      <c r="Q60" s="222"/>
      <c r="R60" s="222"/>
      <c r="S60" s="222"/>
      <c r="Z60" s="232"/>
      <c r="AA60" s="232"/>
      <c r="AI60" s="226"/>
      <c r="AJ60" s="225"/>
      <c r="AK60" s="225"/>
      <c r="AL60" s="228"/>
      <c r="AM60" s="229"/>
      <c r="AV60" s="228"/>
      <c r="AW60" s="228"/>
      <c r="AX60" s="228"/>
      <c r="AY60" s="228"/>
      <c r="AZ60" s="228"/>
      <c r="BA60" s="228"/>
      <c r="BB60" s="228"/>
      <c r="BC60" s="228"/>
      <c r="BD60" s="228"/>
      <c r="BE60" s="228"/>
      <c r="BF60" s="228"/>
      <c r="BG60" s="228"/>
      <c r="BH60" s="228"/>
      <c r="BI60" s="228"/>
      <c r="BJ60" s="228"/>
      <c r="BK60" s="228"/>
    </row>
    <row r="61" spans="1:71">
      <c r="A61" s="245" t="s">
        <v>1764</v>
      </c>
      <c r="B61" s="269">
        <f>F167</f>
        <v>0</v>
      </c>
      <c r="C61" s="269">
        <f>F171</f>
        <v>-0.2</v>
      </c>
      <c r="D61" s="227"/>
      <c r="E61" s="913"/>
      <c r="F61" s="237" t="e">
        <f>F48+LP_/TAN(F45)*SIN(F45)</f>
        <v>#DIV/0!</v>
      </c>
      <c r="G61" s="226"/>
      <c r="H61" s="232"/>
      <c r="I61" s="232"/>
      <c r="J61" s="228"/>
      <c r="K61" s="228"/>
      <c r="L61" s="222"/>
      <c r="O61" s="222"/>
      <c r="P61" s="222"/>
      <c r="Q61" s="222"/>
      <c r="R61" s="222"/>
      <c r="S61" s="222"/>
      <c r="Z61" s="232"/>
      <c r="AA61" s="232"/>
      <c r="AI61" s="228"/>
      <c r="AJ61" s="231"/>
      <c r="AK61" s="231"/>
      <c r="AL61" s="228"/>
      <c r="AM61" s="229"/>
      <c r="AV61" s="228"/>
      <c r="AW61" s="228"/>
      <c r="AX61" s="228"/>
      <c r="AY61" s="228"/>
      <c r="AZ61" s="228"/>
      <c r="BA61" s="228"/>
      <c r="BB61" s="228"/>
      <c r="BC61" s="228"/>
      <c r="BD61" s="228"/>
      <c r="BE61" s="228"/>
      <c r="BF61" s="228"/>
      <c r="BG61" s="228"/>
      <c r="BH61" s="228"/>
      <c r="BI61" s="228"/>
      <c r="BJ61" s="228"/>
      <c r="BK61" s="228"/>
    </row>
    <row r="62" spans="1:71">
      <c r="A62" s="245"/>
      <c r="B62" s="269">
        <f>F168</f>
        <v>0</v>
      </c>
      <c r="C62" s="269">
        <f>F172</f>
        <v>-0.2</v>
      </c>
      <c r="D62" s="227"/>
      <c r="E62" s="913"/>
      <c r="F62" s="237" t="e">
        <f>F61-LP_*COS(F45)</f>
        <v>#DIV/0!</v>
      </c>
      <c r="G62" s="226"/>
      <c r="H62" s="232"/>
      <c r="I62" s="232"/>
      <c r="J62" s="228"/>
      <c r="K62" s="228"/>
      <c r="L62" s="222"/>
      <c r="O62" s="222"/>
      <c r="P62" s="222"/>
      <c r="Q62" s="222"/>
      <c r="R62" s="222"/>
      <c r="S62" s="222"/>
      <c r="Z62" s="232"/>
      <c r="AA62" s="232"/>
      <c r="AI62" s="228"/>
      <c r="AJ62" s="231"/>
      <c r="AK62" s="231"/>
      <c r="AL62" s="228"/>
      <c r="AM62" s="229"/>
      <c r="AV62" s="228"/>
      <c r="AW62" s="228"/>
      <c r="AX62" s="228"/>
      <c r="AY62" s="228"/>
      <c r="AZ62" s="228"/>
      <c r="BA62" s="228"/>
      <c r="BB62" s="228"/>
      <c r="BC62" s="228"/>
      <c r="BD62" s="228"/>
      <c r="BE62" s="228"/>
      <c r="BF62" s="228"/>
      <c r="BG62" s="228"/>
      <c r="BH62" s="228"/>
      <c r="BI62" s="228"/>
      <c r="BJ62" s="228"/>
      <c r="BK62" s="228"/>
    </row>
    <row r="63" spans="1:71">
      <c r="A63" s="245"/>
      <c r="B63" s="269">
        <f>F169</f>
        <v>0</v>
      </c>
      <c r="C63" s="269">
        <f>F173</f>
        <v>-0.2</v>
      </c>
      <c r="D63" s="227"/>
      <c r="E63" s="913"/>
      <c r="F63" s="237" t="e">
        <f>LH_-LP_/TAN(F45)*COS(F58)-F18</f>
        <v>#DIV/0!</v>
      </c>
      <c r="G63" s="226"/>
      <c r="H63" s="232"/>
      <c r="I63" s="232"/>
      <c r="J63" s="228"/>
      <c r="K63" s="228"/>
      <c r="L63" s="222"/>
      <c r="O63" s="222"/>
      <c r="P63" s="222"/>
      <c r="Q63" s="222"/>
      <c r="R63" s="222"/>
      <c r="S63" s="222"/>
      <c r="Z63" s="232"/>
      <c r="AA63" s="232"/>
      <c r="AI63" s="248"/>
      <c r="AJ63" s="225"/>
      <c r="AK63" s="225"/>
      <c r="AL63" s="226"/>
      <c r="AM63" s="229"/>
      <c r="AV63" s="228"/>
      <c r="AW63" s="228"/>
      <c r="AX63" s="228"/>
      <c r="AY63" s="228"/>
      <c r="AZ63" s="228"/>
      <c r="BA63" s="228"/>
      <c r="BB63" s="228"/>
      <c r="BC63" s="228"/>
      <c r="BD63" s="228"/>
      <c r="BE63" s="228"/>
      <c r="BF63" s="228"/>
      <c r="BG63" s="228"/>
      <c r="BH63" s="228"/>
      <c r="BI63" s="228"/>
      <c r="BJ63" s="228"/>
      <c r="BK63" s="228"/>
    </row>
    <row r="64" spans="1:71">
      <c r="A64" s="245"/>
      <c r="B64" s="269">
        <f>F170</f>
        <v>0</v>
      </c>
      <c r="C64" s="269">
        <f>F174</f>
        <v>0</v>
      </c>
      <c r="D64" s="227"/>
      <c r="E64" s="913"/>
      <c r="F64" s="237" t="e">
        <f>LH_-LP_/SIN(F58)-F18</f>
        <v>#DIV/0!</v>
      </c>
      <c r="G64" s="226"/>
      <c r="H64" s="232"/>
      <c r="I64" s="232"/>
      <c r="J64" s="228"/>
      <c r="K64" s="228"/>
      <c r="L64" s="222"/>
      <c r="O64" s="222"/>
      <c r="P64" s="222"/>
      <c r="Q64" s="222"/>
      <c r="R64" s="222"/>
      <c r="S64" s="222"/>
      <c r="Z64" s="232"/>
      <c r="AA64" s="232"/>
      <c r="AI64" s="248"/>
      <c r="AJ64" s="225"/>
      <c r="AK64" s="225"/>
      <c r="AL64" s="225"/>
      <c r="AM64" s="229"/>
      <c r="AV64" s="228"/>
      <c r="AW64" s="228"/>
      <c r="AX64" s="228"/>
      <c r="AY64" s="228"/>
      <c r="AZ64" s="228"/>
      <c r="BA64" s="228"/>
      <c r="BB64" s="228"/>
      <c r="BC64" s="228"/>
      <c r="BD64" s="228"/>
      <c r="BE64" s="228"/>
      <c r="BF64" s="228"/>
      <c r="BG64" s="228"/>
      <c r="BH64" s="228"/>
      <c r="BI64" s="228"/>
      <c r="BJ64" s="228"/>
      <c r="BK64" s="228"/>
    </row>
    <row r="65" spans="1:63">
      <c r="A65" s="245" t="s">
        <v>1765</v>
      </c>
      <c r="B65" s="269">
        <f>F107</f>
        <v>0</v>
      </c>
      <c r="C65" s="269">
        <f>F108</f>
        <v>0</v>
      </c>
      <c r="D65" s="227"/>
      <c r="E65" s="913"/>
      <c r="F65" s="237" t="e">
        <f>F48+LP_/TAN(F45)*SIN(F58)</f>
        <v>#DIV/0!</v>
      </c>
      <c r="G65" s="226"/>
      <c r="H65" s="232"/>
      <c r="I65" s="232"/>
      <c r="J65" s="228"/>
      <c r="K65" s="228"/>
      <c r="L65" s="222"/>
      <c r="O65" s="222"/>
      <c r="P65" s="222"/>
      <c r="Q65" s="222"/>
      <c r="R65" s="222"/>
      <c r="S65" s="222"/>
      <c r="Z65" s="232"/>
      <c r="AA65" s="232"/>
      <c r="AM65" s="229"/>
      <c r="AV65" s="228"/>
      <c r="AW65" s="228"/>
      <c r="AX65" s="228"/>
      <c r="AY65" s="228"/>
      <c r="AZ65" s="228"/>
      <c r="BA65" s="228"/>
      <c r="BB65" s="228"/>
      <c r="BC65" s="228"/>
      <c r="BD65" s="228"/>
      <c r="BE65" s="228"/>
      <c r="BF65" s="228"/>
      <c r="BG65" s="228"/>
      <c r="BH65" s="228"/>
      <c r="BI65" s="228"/>
      <c r="BJ65" s="228"/>
      <c r="BK65" s="228"/>
    </row>
    <row r="66" spans="1:63">
      <c r="A66" s="245"/>
      <c r="B66" s="269">
        <f>F109</f>
        <v>-3.6647727631022406E-2</v>
      </c>
      <c r="C66" s="269">
        <f>F110</f>
        <v>1.3995202549657801</v>
      </c>
      <c r="D66" s="227"/>
      <c r="E66" s="913"/>
      <c r="F66" s="237" t="e">
        <f>F61-LP_*COS(F58)</f>
        <v>#DIV/0!</v>
      </c>
      <c r="G66" s="226"/>
      <c r="H66" s="232"/>
      <c r="I66" s="232"/>
      <c r="J66" s="228"/>
      <c r="K66" s="228"/>
      <c r="L66" s="222"/>
      <c r="O66" s="222"/>
      <c r="P66" s="222"/>
      <c r="Q66" s="222"/>
      <c r="R66" s="222"/>
      <c r="S66" s="222"/>
      <c r="Z66" s="232"/>
      <c r="AA66" s="232"/>
      <c r="AI66" s="226"/>
      <c r="AJ66" s="225"/>
      <c r="AK66" s="225"/>
      <c r="AL66" s="228"/>
      <c r="AM66" s="229"/>
      <c r="AV66" s="228"/>
      <c r="AW66" s="228"/>
      <c r="AX66" s="228"/>
      <c r="AY66" s="228"/>
      <c r="AZ66" s="228"/>
      <c r="BA66" s="228"/>
      <c r="BB66" s="228"/>
      <c r="BC66" s="228"/>
      <c r="BD66" s="228"/>
      <c r="BE66" s="228"/>
      <c r="BF66" s="228"/>
      <c r="BG66" s="228"/>
      <c r="BH66" s="228"/>
      <c r="BI66" s="228"/>
      <c r="BJ66" s="228"/>
      <c r="BK66" s="228"/>
    </row>
    <row r="67" spans="1:63">
      <c r="A67" s="245" t="s">
        <v>1766</v>
      </c>
      <c r="B67" s="269">
        <f>F115</f>
        <v>-9.9965732497555734E-2</v>
      </c>
      <c r="C67" s="269">
        <f>F116</f>
        <v>-2.6176948307873151E-3</v>
      </c>
      <c r="D67" s="227"/>
      <c r="E67" s="911" t="s">
        <v>1087</v>
      </c>
      <c r="F67" s="275"/>
      <c r="G67" s="226"/>
      <c r="H67" s="232"/>
      <c r="I67" s="232"/>
      <c r="J67" s="228"/>
      <c r="K67" s="228"/>
      <c r="L67" s="222"/>
      <c r="O67" s="222"/>
      <c r="P67" s="222"/>
      <c r="Q67" s="222"/>
      <c r="R67" s="222"/>
      <c r="S67" s="222"/>
      <c r="Z67" s="232"/>
      <c r="AA67" s="232"/>
      <c r="AI67" s="228"/>
      <c r="AJ67" s="231"/>
      <c r="AK67" s="231"/>
      <c r="AL67" s="228"/>
      <c r="AM67" s="229"/>
      <c r="AV67" s="228"/>
      <c r="AW67" s="228"/>
      <c r="AX67" s="228"/>
      <c r="AY67" s="228"/>
      <c r="AZ67" s="228"/>
      <c r="BA67" s="228"/>
      <c r="BB67" s="228"/>
      <c r="BC67" s="228"/>
      <c r="BD67" s="228"/>
      <c r="BE67" s="228"/>
      <c r="BF67" s="228"/>
      <c r="BG67" s="228"/>
      <c r="BH67" s="228"/>
      <c r="BI67" s="228"/>
      <c r="BJ67" s="228"/>
      <c r="BK67" s="228"/>
    </row>
    <row r="68" spans="1:63">
      <c r="A68" s="245"/>
      <c r="B68" s="269">
        <f>F117</f>
        <v>-0.13661346012857814</v>
      </c>
      <c r="C68" s="269">
        <f>F118</f>
        <v>1.3969025601349929</v>
      </c>
      <c r="D68" s="227"/>
      <c r="E68" s="913"/>
      <c r="F68" s="275"/>
      <c r="G68" s="226"/>
      <c r="H68" s="232"/>
      <c r="I68" s="232"/>
      <c r="J68" s="228"/>
      <c r="K68" s="228"/>
      <c r="L68" s="222"/>
      <c r="O68" s="222"/>
      <c r="P68" s="222"/>
      <c r="Q68" s="222"/>
      <c r="R68" s="222"/>
      <c r="S68" s="222"/>
      <c r="Z68" s="232"/>
      <c r="AA68" s="232"/>
      <c r="AI68" s="228"/>
      <c r="AJ68" s="231"/>
      <c r="AK68" s="231"/>
      <c r="AL68" s="228"/>
      <c r="AM68" s="229"/>
      <c r="AV68" s="228"/>
      <c r="AW68" s="228"/>
      <c r="AX68" s="228"/>
      <c r="AY68" s="228"/>
      <c r="AZ68" s="228"/>
      <c r="BA68" s="228"/>
      <c r="BB68" s="228"/>
      <c r="BC68" s="228"/>
      <c r="BD68" s="228"/>
      <c r="BE68" s="228"/>
      <c r="BF68" s="228"/>
      <c r="BG68" s="228"/>
      <c r="BH68" s="228"/>
      <c r="BI68" s="228"/>
      <c r="BJ68" s="228"/>
      <c r="BK68" s="228"/>
    </row>
    <row r="69" spans="1:63">
      <c r="A69" s="245" t="s">
        <v>1767</v>
      </c>
      <c r="B69" s="269">
        <f>F123</f>
        <v>-0.13661346012857814</v>
      </c>
      <c r="C69" s="269">
        <f>F124</f>
        <v>1.3969025601349929</v>
      </c>
      <c r="D69" s="227"/>
      <c r="E69" s="913"/>
      <c r="F69" s="275"/>
      <c r="G69" s="226"/>
      <c r="H69" s="232"/>
      <c r="I69" s="232"/>
      <c r="J69" s="228"/>
      <c r="K69" s="228"/>
      <c r="L69" s="222"/>
      <c r="O69" s="222"/>
      <c r="P69" s="222"/>
      <c r="Q69" s="222"/>
      <c r="R69" s="222"/>
      <c r="S69" s="222"/>
      <c r="Z69" s="232"/>
      <c r="AA69" s="232"/>
      <c r="AI69" s="248"/>
      <c r="AJ69" s="225"/>
      <c r="AK69" s="225"/>
      <c r="AL69" s="226"/>
      <c r="AM69" s="229"/>
      <c r="AV69" s="228"/>
      <c r="AW69" s="228"/>
      <c r="AX69" s="228"/>
      <c r="AY69" s="228"/>
      <c r="AZ69" s="228"/>
      <c r="BA69" s="228"/>
      <c r="BB69" s="228"/>
      <c r="BC69" s="228"/>
      <c r="BD69" s="228"/>
      <c r="BE69" s="228"/>
      <c r="BF69" s="228"/>
      <c r="BG69" s="228"/>
      <c r="BH69" s="228"/>
      <c r="BI69" s="228"/>
      <c r="BJ69" s="228"/>
      <c r="BK69" s="228"/>
    </row>
    <row r="70" spans="1:63">
      <c r="A70" s="245"/>
      <c r="B70" s="269">
        <f>F125</f>
        <v>-0.13661346012857814</v>
      </c>
      <c r="C70" s="269">
        <f>F126</f>
        <v>1.3969025601349929</v>
      </c>
      <c r="D70" s="227"/>
      <c r="E70" s="913"/>
      <c r="F70" s="275"/>
      <c r="G70" s="226"/>
      <c r="H70" s="232"/>
      <c r="I70" s="232"/>
      <c r="J70" s="228"/>
      <c r="K70" s="228"/>
      <c r="L70" s="222"/>
      <c r="O70" s="222"/>
      <c r="P70" s="222"/>
      <c r="Q70" s="222"/>
      <c r="R70" s="222"/>
      <c r="S70" s="222"/>
      <c r="Z70" s="232"/>
      <c r="AA70" s="232"/>
      <c r="AB70" s="248"/>
      <c r="AC70" s="225"/>
      <c r="AD70" s="225"/>
      <c r="AE70" s="225"/>
      <c r="AF70" s="229"/>
      <c r="AI70" s="248"/>
      <c r="AJ70" s="225"/>
      <c r="AK70" s="225"/>
      <c r="AL70" s="225"/>
      <c r="AM70" s="229"/>
      <c r="AV70" s="228"/>
      <c r="AW70" s="228"/>
      <c r="AX70" s="228"/>
      <c r="AY70" s="228"/>
      <c r="AZ70" s="228"/>
      <c r="BA70" s="228"/>
      <c r="BB70" s="228"/>
      <c r="BC70" s="228"/>
      <c r="BD70" s="228"/>
      <c r="BE70" s="228"/>
      <c r="BF70" s="228"/>
      <c r="BG70" s="228"/>
      <c r="BH70" s="228"/>
      <c r="BI70" s="228"/>
      <c r="BJ70" s="228"/>
      <c r="BK70" s="228"/>
    </row>
    <row r="71" spans="1:63">
      <c r="A71" s="245" t="s">
        <v>1768</v>
      </c>
      <c r="B71" s="269">
        <f>F131</f>
        <v>-0.13399576529779084</v>
      </c>
      <c r="C71" s="269">
        <f>F132</f>
        <v>1.2969368276374371</v>
      </c>
      <c r="D71" s="227"/>
      <c r="E71" s="913"/>
      <c r="F71" s="277" t="e">
        <f>$F$95+($F$63-$F$95)/2</f>
        <v>#DIV/0!</v>
      </c>
      <c r="G71" s="226"/>
      <c r="H71" s="232"/>
      <c r="I71" s="232"/>
      <c r="J71" s="228"/>
      <c r="K71" s="228"/>
      <c r="L71" s="222"/>
      <c r="O71" s="222"/>
      <c r="P71" s="222"/>
      <c r="Q71" s="222"/>
      <c r="R71" s="222"/>
      <c r="S71" s="222"/>
      <c r="Z71" s="232"/>
      <c r="AA71" s="232"/>
      <c r="AB71" s="248"/>
      <c r="AC71" s="225"/>
      <c r="AD71" s="225"/>
      <c r="AE71" s="225"/>
      <c r="AF71" s="229"/>
      <c r="AV71" s="228"/>
      <c r="AW71" s="228"/>
      <c r="AX71" s="228"/>
      <c r="AY71" s="228"/>
      <c r="AZ71" s="228"/>
      <c r="BA71" s="228"/>
      <c r="BB71" s="228"/>
      <c r="BC71" s="228"/>
      <c r="BD71" s="228"/>
      <c r="BE71" s="228"/>
      <c r="BF71" s="228"/>
      <c r="BG71" s="228"/>
      <c r="BH71" s="228"/>
      <c r="BI71" s="228"/>
      <c r="BJ71" s="228"/>
      <c r="BK71" s="228"/>
    </row>
    <row r="72" spans="1:63">
      <c r="A72" s="245"/>
      <c r="B72" s="269">
        <f>F133</f>
        <v>-0.13399576529779084</v>
      </c>
      <c r="C72" s="269">
        <f>F134</f>
        <v>1.2969368276374371</v>
      </c>
      <c r="D72" s="227"/>
      <c r="E72" s="913"/>
      <c r="F72" s="277" t="e">
        <f>F71-HHW_*SIN($F$58)</f>
        <v>#DIV/0!</v>
      </c>
      <c r="G72" s="226"/>
      <c r="H72" s="232"/>
      <c r="I72" s="232"/>
      <c r="J72" s="228"/>
      <c r="K72" s="228"/>
      <c r="L72" s="222"/>
      <c r="O72" s="222"/>
      <c r="P72" s="222"/>
      <c r="Q72" s="222"/>
      <c r="R72" s="222"/>
      <c r="S72" s="222"/>
      <c r="Z72" s="232"/>
      <c r="AA72" s="232"/>
      <c r="AB72" s="248"/>
      <c r="AC72" s="225"/>
      <c r="AD72" s="225"/>
      <c r="AE72" s="225"/>
      <c r="AF72" s="229"/>
      <c r="AV72" s="228"/>
      <c r="AW72" s="228"/>
      <c r="AX72" s="228"/>
      <c r="AY72" s="228"/>
      <c r="AZ72" s="228"/>
      <c r="BA72" s="228"/>
      <c r="BB72" s="228"/>
      <c r="BC72" s="228"/>
      <c r="BD72" s="228"/>
      <c r="BE72" s="228"/>
      <c r="BF72" s="228"/>
      <c r="BG72" s="228"/>
      <c r="BH72" s="228"/>
      <c r="BI72" s="228"/>
      <c r="BJ72" s="228"/>
      <c r="BK72" s="228"/>
    </row>
    <row r="73" spans="1:63">
      <c r="A73" s="245" t="s">
        <v>374</v>
      </c>
      <c r="B73" s="269">
        <f>F52</f>
        <v>0</v>
      </c>
      <c r="C73" s="269">
        <f>F53</f>
        <v>0</v>
      </c>
      <c r="D73" s="227"/>
      <c r="E73" s="913"/>
      <c r="F73" s="277" t="e">
        <f>F65+(F63-F71)*TAN($F$58)</f>
        <v>#DIV/0!</v>
      </c>
      <c r="G73" s="226"/>
      <c r="H73" s="232"/>
      <c r="I73" s="232"/>
      <c r="J73" s="228"/>
      <c r="K73" s="228"/>
      <c r="L73" s="222"/>
      <c r="O73" s="222"/>
      <c r="P73" s="222"/>
      <c r="Q73" s="222"/>
      <c r="R73" s="222"/>
      <c r="S73" s="222"/>
      <c r="Z73" s="232"/>
      <c r="AA73" s="232"/>
      <c r="AB73" s="248"/>
      <c r="AD73" s="225"/>
      <c r="AE73" s="225"/>
      <c r="AF73" s="229"/>
      <c r="AV73" s="228"/>
      <c r="AW73" s="228"/>
      <c r="AX73" s="228"/>
      <c r="AY73" s="228"/>
      <c r="AZ73" s="228"/>
      <c r="BA73" s="228"/>
      <c r="BB73" s="228"/>
      <c r="BC73" s="228"/>
      <c r="BD73" s="228"/>
      <c r="BE73" s="228"/>
      <c r="BF73" s="228"/>
      <c r="BG73" s="228"/>
      <c r="BH73" s="228"/>
      <c r="BI73" s="228"/>
      <c r="BJ73" s="228"/>
      <c r="BK73" s="228"/>
    </row>
    <row r="74" spans="1:63">
      <c r="A74" s="245"/>
      <c r="B74" s="269">
        <f>F54</f>
        <v>0</v>
      </c>
      <c r="C74" s="269">
        <f>F55</f>
        <v>0</v>
      </c>
      <c r="D74" s="227"/>
      <c r="E74" s="913"/>
      <c r="F74" s="237" t="e">
        <f>F73-HHW_*COS($F$58)</f>
        <v>#DIV/0!</v>
      </c>
      <c r="G74" s="226"/>
      <c r="H74" s="232"/>
      <c r="I74" s="232"/>
      <c r="J74" s="228"/>
      <c r="K74" s="228"/>
      <c r="L74" s="222"/>
      <c r="O74" s="222"/>
      <c r="P74" s="222"/>
      <c r="Q74" s="222"/>
      <c r="R74" s="222"/>
      <c r="S74" s="222"/>
      <c r="AX74" s="228"/>
      <c r="AY74" s="228"/>
      <c r="AZ74" s="228"/>
      <c r="BA74" s="228"/>
      <c r="BB74" s="228"/>
      <c r="BC74" s="228"/>
      <c r="BD74" s="228"/>
      <c r="BE74" s="228"/>
      <c r="BF74" s="228"/>
      <c r="BG74" s="228"/>
      <c r="BH74" s="228"/>
      <c r="BI74" s="228"/>
      <c r="BJ74" s="228"/>
      <c r="BK74" s="228"/>
    </row>
    <row r="75" spans="1:63">
      <c r="A75" s="245" t="s">
        <v>1072</v>
      </c>
      <c r="B75" s="269" t="e">
        <f>F63</f>
        <v>#DIV/0!</v>
      </c>
      <c r="C75" s="269" t="e">
        <f>F65</f>
        <v>#DIV/0!</v>
      </c>
      <c r="D75" s="227"/>
      <c r="E75" s="911" t="s">
        <v>181</v>
      </c>
      <c r="F75" s="275"/>
      <c r="G75" s="226"/>
      <c r="H75" s="232"/>
      <c r="I75" s="232"/>
      <c r="J75" s="228"/>
      <c r="K75" s="228"/>
      <c r="L75" s="222"/>
      <c r="O75" s="222"/>
      <c r="P75" s="222"/>
      <c r="Q75" s="222"/>
      <c r="R75" s="222"/>
      <c r="S75" s="222"/>
      <c r="Z75" s="232"/>
      <c r="AA75" s="232"/>
      <c r="AV75" s="228"/>
      <c r="AW75" s="228"/>
      <c r="AX75" s="228"/>
      <c r="AY75" s="228"/>
      <c r="AZ75" s="228"/>
      <c r="BA75" s="228"/>
      <c r="BB75" s="228"/>
      <c r="BC75" s="228"/>
      <c r="BD75" s="228"/>
      <c r="BE75" s="228"/>
      <c r="BF75" s="228"/>
      <c r="BG75" s="228"/>
      <c r="BH75" s="228"/>
      <c r="BI75" s="228"/>
      <c r="BJ75" s="228"/>
      <c r="BK75" s="228"/>
    </row>
    <row r="76" spans="1:63">
      <c r="A76" s="245"/>
      <c r="B76" s="269" t="e">
        <f>F64</f>
        <v>#DIV/0!</v>
      </c>
      <c r="C76" s="269" t="e">
        <f>F66</f>
        <v>#DIV/0!</v>
      </c>
      <c r="D76" s="227"/>
      <c r="E76" s="913"/>
      <c r="F76" s="275"/>
      <c r="G76" s="226"/>
      <c r="H76" s="232"/>
      <c r="I76" s="232"/>
      <c r="J76" s="228"/>
      <c r="K76" s="228"/>
      <c r="L76" s="222"/>
      <c r="O76" s="222"/>
      <c r="P76" s="222"/>
      <c r="Q76" s="222"/>
      <c r="R76" s="222"/>
      <c r="S76" s="222"/>
      <c r="AV76" s="228"/>
      <c r="AW76" s="228"/>
      <c r="AX76" s="228"/>
      <c r="AY76" s="228"/>
      <c r="AZ76" s="228"/>
      <c r="BA76" s="228"/>
      <c r="BB76" s="228"/>
      <c r="BC76" s="228"/>
      <c r="BD76" s="228"/>
      <c r="BE76" s="228"/>
      <c r="BF76" s="228"/>
      <c r="BG76" s="228"/>
      <c r="BH76" s="228"/>
      <c r="BI76" s="228"/>
      <c r="BJ76" s="228"/>
      <c r="BK76" s="228"/>
    </row>
    <row r="77" spans="1:63">
      <c r="A77" s="245" t="s">
        <v>1087</v>
      </c>
      <c r="B77" s="269" t="e">
        <f>F71</f>
        <v>#DIV/0!</v>
      </c>
      <c r="C77" s="269" t="e">
        <f>F73</f>
        <v>#DIV/0!</v>
      </c>
      <c r="D77" s="227"/>
      <c r="E77" s="913"/>
      <c r="F77" s="275"/>
      <c r="G77" s="226"/>
      <c r="H77" s="232"/>
      <c r="I77" s="232"/>
      <c r="J77" s="228"/>
      <c r="K77" s="228"/>
      <c r="L77" s="222"/>
      <c r="O77" s="222"/>
      <c r="P77" s="222"/>
      <c r="Q77" s="222"/>
      <c r="R77" s="222"/>
      <c r="S77" s="222"/>
      <c r="AV77" s="228"/>
      <c r="AW77" s="228"/>
      <c r="AX77" s="228"/>
      <c r="AY77" s="228"/>
      <c r="AZ77" s="228"/>
      <c r="BA77" s="228"/>
      <c r="BB77" s="228"/>
      <c r="BC77" s="228"/>
      <c r="BD77" s="228"/>
      <c r="BE77" s="228"/>
      <c r="BF77" s="228"/>
      <c r="BG77" s="228"/>
      <c r="BH77" s="228"/>
      <c r="BI77" s="228"/>
      <c r="BJ77" s="228"/>
      <c r="BK77" s="228"/>
    </row>
    <row r="78" spans="1:63">
      <c r="A78" s="245"/>
      <c r="B78" s="269" t="e">
        <f>F72</f>
        <v>#DIV/0!</v>
      </c>
      <c r="C78" s="269" t="e">
        <f>F74</f>
        <v>#DIV/0!</v>
      </c>
      <c r="D78" s="227"/>
      <c r="E78" s="913"/>
      <c r="F78" s="275"/>
      <c r="G78" s="226"/>
      <c r="H78" s="232"/>
      <c r="I78" s="232"/>
      <c r="J78" s="228"/>
      <c r="K78" s="228"/>
      <c r="L78" s="222"/>
      <c r="O78" s="222"/>
      <c r="P78" s="222"/>
      <c r="Q78" s="222"/>
      <c r="R78" s="222"/>
      <c r="S78" s="222"/>
      <c r="AV78" s="228"/>
      <c r="AW78" s="228"/>
      <c r="AX78" s="228"/>
      <c r="AY78" s="228"/>
      <c r="AZ78" s="228"/>
      <c r="BA78" s="228"/>
      <c r="BB78" s="228"/>
      <c r="BC78" s="228"/>
      <c r="BD78" s="228"/>
      <c r="BE78" s="228"/>
      <c r="BF78" s="228"/>
      <c r="BG78" s="228"/>
      <c r="BH78" s="228"/>
      <c r="BI78" s="228"/>
      <c r="BJ78" s="228"/>
      <c r="BK78" s="228"/>
    </row>
    <row r="79" spans="1:63">
      <c r="A79" s="245" t="s">
        <v>181</v>
      </c>
      <c r="B79" s="269" t="e">
        <f>F79</f>
        <v>#DIV/0!</v>
      </c>
      <c r="C79" s="269" t="e">
        <f>F81</f>
        <v>#DIV/0!</v>
      </c>
      <c r="D79" s="227"/>
      <c r="E79" s="913"/>
      <c r="F79" s="277" t="e">
        <f>$F$95+($F$63-$F$95)*1/4</f>
        <v>#DIV/0!</v>
      </c>
      <c r="G79" s="226"/>
      <c r="H79" s="232"/>
      <c r="I79" s="226"/>
      <c r="J79" s="228"/>
      <c r="K79" s="228"/>
      <c r="L79" s="222"/>
      <c r="M79" s="228"/>
      <c r="N79" s="226"/>
      <c r="O79" s="228"/>
      <c r="P79" s="228"/>
      <c r="Q79" s="228"/>
      <c r="T79" s="228"/>
      <c r="U79" s="226"/>
      <c r="V79" s="228"/>
      <c r="W79" s="228"/>
      <c r="X79" s="228"/>
      <c r="Y79" s="228"/>
      <c r="Z79" s="226"/>
      <c r="AA79" s="226"/>
      <c r="AB79" s="228"/>
      <c r="AC79" s="228"/>
      <c r="AD79" s="228"/>
      <c r="AE79" s="228"/>
      <c r="AF79" s="228"/>
      <c r="AG79" s="228"/>
      <c r="AH79" s="228"/>
      <c r="AV79" s="228"/>
      <c r="AW79" s="228"/>
      <c r="AX79" s="228"/>
      <c r="AY79" s="228"/>
      <c r="AZ79" s="228"/>
      <c r="BA79" s="228"/>
      <c r="BB79" s="228"/>
      <c r="BC79" s="228"/>
      <c r="BD79" s="228"/>
      <c r="BE79" s="228"/>
      <c r="BF79" s="228"/>
      <c r="BG79" s="228"/>
      <c r="BH79" s="228"/>
      <c r="BI79" s="228"/>
      <c r="BJ79" s="228"/>
      <c r="BK79" s="228"/>
    </row>
    <row r="80" spans="1:63">
      <c r="A80" s="245"/>
      <c r="B80" s="269" t="e">
        <f>F80</f>
        <v>#DIV/0!</v>
      </c>
      <c r="C80" s="269" t="e">
        <f>F82</f>
        <v>#DIV/0!</v>
      </c>
      <c r="D80" s="227"/>
      <c r="E80" s="913"/>
      <c r="F80" s="277" t="e">
        <f>F79-HTW_*SIN($F$58)</f>
        <v>#DIV/0!</v>
      </c>
      <c r="G80" s="226"/>
      <c r="H80" s="232"/>
      <c r="J80" s="228"/>
      <c r="K80" s="228"/>
      <c r="L80" s="222"/>
      <c r="M80" s="228"/>
      <c r="N80" s="228"/>
      <c r="O80" s="225"/>
      <c r="P80" s="225"/>
      <c r="Q80" s="225"/>
      <c r="T80" s="228"/>
      <c r="U80" s="228"/>
      <c r="V80" s="225"/>
      <c r="W80" s="228"/>
      <c r="Z80" s="228"/>
      <c r="AA80" s="228"/>
      <c r="AB80" s="232"/>
      <c r="AC80" s="228"/>
      <c r="AE80" s="228"/>
      <c r="AF80" s="228"/>
      <c r="AG80" s="228"/>
      <c r="AH80" s="228"/>
      <c r="AV80" s="228"/>
      <c r="AW80" s="228"/>
      <c r="AX80" s="228"/>
      <c r="AY80" s="228"/>
      <c r="AZ80" s="228"/>
      <c r="BA80" s="228"/>
      <c r="BB80" s="228"/>
      <c r="BC80" s="228"/>
      <c r="BD80" s="228"/>
      <c r="BE80" s="228"/>
      <c r="BF80" s="228"/>
      <c r="BG80" s="228"/>
      <c r="BH80" s="228"/>
      <c r="BI80" s="228"/>
      <c r="BJ80" s="228"/>
      <c r="BK80" s="228"/>
    </row>
    <row r="81" spans="1:63">
      <c r="A81" s="245" t="s">
        <v>174</v>
      </c>
      <c r="B81" s="269" t="e">
        <f>F95</f>
        <v>#DIV/0!</v>
      </c>
      <c r="C81" s="269" t="e">
        <f>F97</f>
        <v>#DIV/0!</v>
      </c>
      <c r="D81" s="227"/>
      <c r="E81" s="913"/>
      <c r="F81" s="277" t="e">
        <f>F73+(F71-F79)*TAN($F$58)</f>
        <v>#DIV/0!</v>
      </c>
      <c r="G81" s="226"/>
      <c r="H81" s="232"/>
      <c r="J81" s="228"/>
      <c r="K81" s="228"/>
      <c r="L81" s="222"/>
      <c r="M81" s="228"/>
      <c r="N81" s="228"/>
      <c r="O81" s="225"/>
      <c r="P81" s="225"/>
      <c r="Q81" s="225"/>
      <c r="T81" s="228"/>
      <c r="AE81" s="228"/>
      <c r="AF81" s="229"/>
      <c r="AG81" s="228"/>
      <c r="AH81" s="228"/>
      <c r="AV81" s="228"/>
      <c r="AW81" s="228"/>
      <c r="AX81" s="228"/>
      <c r="AY81" s="228"/>
      <c r="AZ81" s="228"/>
      <c r="BA81" s="228"/>
      <c r="BB81" s="228"/>
      <c r="BC81" s="228"/>
      <c r="BD81" s="228"/>
      <c r="BE81" s="228"/>
      <c r="BF81" s="228"/>
      <c r="BG81" s="228"/>
      <c r="BH81" s="228"/>
      <c r="BI81" s="228"/>
      <c r="BJ81" s="228"/>
      <c r="BK81" s="228"/>
    </row>
    <row r="82" spans="1:63">
      <c r="A82" s="245"/>
      <c r="B82" s="269" t="e">
        <f>F96</f>
        <v>#DIV/0!</v>
      </c>
      <c r="C82" s="269" t="e">
        <f>F98</f>
        <v>#DIV/0!</v>
      </c>
      <c r="D82" s="227"/>
      <c r="E82" s="913"/>
      <c r="F82" s="237" t="e">
        <f>F81-HTW_*COS($F$58)</f>
        <v>#DIV/0!</v>
      </c>
      <c r="G82" s="226"/>
      <c r="H82" s="232"/>
      <c r="J82" s="228"/>
      <c r="K82" s="228"/>
      <c r="L82" s="222"/>
      <c r="M82" s="228"/>
      <c r="N82" s="228"/>
      <c r="O82" s="225"/>
      <c r="P82" s="225"/>
      <c r="Q82" s="225"/>
      <c r="T82" s="228"/>
      <c r="Z82" s="228"/>
      <c r="AA82" s="228"/>
      <c r="AB82" s="225"/>
      <c r="AC82" s="228"/>
      <c r="AE82" s="228"/>
      <c r="AF82" s="229"/>
      <c r="AG82" s="228"/>
      <c r="AH82" s="228"/>
      <c r="AV82" s="228"/>
      <c r="AW82" s="228"/>
      <c r="AX82" s="228"/>
      <c r="AY82" s="228"/>
      <c r="AZ82" s="228"/>
      <c r="BA82" s="228"/>
      <c r="BB82" s="228"/>
      <c r="BC82" s="228"/>
      <c r="BD82" s="228"/>
      <c r="BE82" s="228"/>
      <c r="BF82" s="228"/>
      <c r="BG82" s="228"/>
      <c r="BH82" s="228"/>
      <c r="BI82" s="228"/>
      <c r="BJ82" s="228"/>
      <c r="BK82" s="228"/>
    </row>
    <row r="83" spans="1:63">
      <c r="A83" s="245" t="s">
        <v>1457</v>
      </c>
      <c r="B83" s="269">
        <f>F139</f>
        <v>-0.13661346012857814</v>
      </c>
      <c r="C83" s="269">
        <f>F140</f>
        <v>1.3969025601349929</v>
      </c>
      <c r="D83" s="227"/>
      <c r="E83" s="911" t="s">
        <v>2479</v>
      </c>
      <c r="F83" s="275"/>
      <c r="G83" s="226"/>
      <c r="H83" s="232"/>
      <c r="J83" s="228"/>
      <c r="K83" s="228"/>
      <c r="L83" s="222"/>
      <c r="M83" s="228"/>
      <c r="N83" s="228"/>
      <c r="O83" s="225"/>
      <c r="P83" s="225"/>
      <c r="Q83" s="225"/>
      <c r="T83" s="228"/>
      <c r="Z83" s="228"/>
      <c r="AA83" s="228"/>
      <c r="AB83" s="225"/>
      <c r="AC83" s="228"/>
      <c r="AG83" s="228"/>
      <c r="AH83" s="228"/>
      <c r="AV83" s="228"/>
      <c r="AW83" s="228"/>
      <c r="AX83" s="228"/>
      <c r="AY83" s="228"/>
      <c r="AZ83" s="228"/>
      <c r="BA83" s="228"/>
      <c r="BB83" s="228"/>
      <c r="BC83" s="228"/>
      <c r="BD83" s="228"/>
      <c r="BE83" s="228"/>
      <c r="BF83" s="228"/>
      <c r="BG83" s="228"/>
      <c r="BH83" s="228"/>
      <c r="BI83" s="228"/>
      <c r="BJ83" s="228"/>
      <c r="BK83" s="228"/>
    </row>
    <row r="84" spans="1:63">
      <c r="A84" s="245"/>
      <c r="B84" s="269">
        <f>F141</f>
        <v>-0.13661346012857814</v>
      </c>
      <c r="C84" s="269">
        <f>F142</f>
        <v>1.3969025601349929</v>
      </c>
      <c r="D84" s="227"/>
      <c r="E84" s="913"/>
      <c r="F84" s="275"/>
      <c r="G84" s="226"/>
      <c r="H84" s="232"/>
      <c r="J84" s="228"/>
      <c r="K84" s="228"/>
      <c r="L84" s="222"/>
      <c r="M84" s="228"/>
      <c r="N84" s="226"/>
      <c r="O84" s="225"/>
      <c r="P84" s="228"/>
      <c r="Q84" s="228"/>
      <c r="T84" s="228"/>
      <c r="Z84" s="228"/>
      <c r="AA84" s="228"/>
      <c r="AC84" s="228"/>
      <c r="AE84" s="228"/>
      <c r="AH84" s="228"/>
      <c r="AV84" s="228"/>
      <c r="AW84" s="228"/>
      <c r="AX84" s="228"/>
      <c r="AY84" s="228"/>
      <c r="AZ84" s="228"/>
      <c r="BA84" s="228"/>
      <c r="BB84" s="228"/>
      <c r="BC84" s="228"/>
      <c r="BD84" s="228"/>
      <c r="BE84" s="228"/>
      <c r="BF84" s="228"/>
      <c r="BG84" s="228"/>
      <c r="BH84" s="228"/>
      <c r="BI84" s="228"/>
      <c r="BJ84" s="228"/>
      <c r="BK84" s="228"/>
    </row>
    <row r="85" spans="1:63">
      <c r="A85" s="245" t="s">
        <v>1459</v>
      </c>
      <c r="B85" s="269">
        <f>F147</f>
        <v>-0.13661346012857814</v>
      </c>
      <c r="C85" s="269">
        <f>F148</f>
        <v>1.3969025601349929</v>
      </c>
      <c r="D85" s="227"/>
      <c r="E85" s="913"/>
      <c r="F85" s="275"/>
      <c r="G85" s="226"/>
      <c r="H85" s="232"/>
      <c r="J85" s="228"/>
      <c r="K85" s="228"/>
      <c r="L85" s="222"/>
      <c r="M85" s="228"/>
      <c r="N85" s="226"/>
      <c r="O85" s="225"/>
      <c r="P85" s="228"/>
      <c r="Q85" s="228"/>
      <c r="T85" s="228"/>
      <c r="V85" s="232"/>
      <c r="AB85" s="231"/>
      <c r="AH85" s="228"/>
      <c r="AV85" s="228"/>
      <c r="AW85" s="228"/>
      <c r="AX85" s="228"/>
      <c r="AY85" s="228"/>
      <c r="AZ85" s="228"/>
      <c r="BA85" s="228"/>
      <c r="BB85" s="228"/>
      <c r="BC85" s="228"/>
      <c r="BD85" s="228"/>
      <c r="BE85" s="228"/>
      <c r="BF85" s="228"/>
      <c r="BG85" s="228"/>
      <c r="BH85" s="228"/>
      <c r="BI85" s="228"/>
      <c r="BJ85" s="228"/>
      <c r="BK85" s="228"/>
    </row>
    <row r="86" spans="1:63">
      <c r="A86" s="245"/>
      <c r="B86" s="269">
        <f>F149</f>
        <v>-0.13661346012857814</v>
      </c>
      <c r="C86" s="269">
        <f>F150</f>
        <v>1.3969025601349929</v>
      </c>
      <c r="D86" s="227"/>
      <c r="E86" s="913"/>
      <c r="F86" s="275"/>
      <c r="G86" s="226"/>
      <c r="H86" s="232"/>
      <c r="J86" s="228"/>
      <c r="K86" s="228"/>
      <c r="L86" s="222"/>
      <c r="M86" s="228"/>
      <c r="O86" s="222"/>
      <c r="P86" s="222"/>
      <c r="Q86" s="228"/>
      <c r="T86" s="228"/>
      <c r="Z86" s="226"/>
      <c r="AA86" s="226"/>
      <c r="AB86" s="231"/>
      <c r="AC86" s="226"/>
      <c r="AE86" s="228"/>
      <c r="AH86" s="228"/>
      <c r="AV86" s="228"/>
      <c r="AW86" s="228"/>
      <c r="AX86" s="228"/>
      <c r="AY86" s="228"/>
      <c r="AZ86" s="228"/>
      <c r="BA86" s="228"/>
      <c r="BB86" s="228"/>
      <c r="BC86" s="228"/>
      <c r="BD86" s="228"/>
      <c r="BE86" s="228"/>
      <c r="BF86" s="228"/>
      <c r="BG86" s="228"/>
      <c r="BH86" s="228"/>
      <c r="BI86" s="228"/>
      <c r="BJ86" s="228"/>
      <c r="BK86" s="228"/>
    </row>
    <row r="87" spans="1:63">
      <c r="A87" s="245" t="s">
        <v>1460</v>
      </c>
      <c r="B87" s="269">
        <f>F155</f>
        <v>-0.13661346012857814</v>
      </c>
      <c r="C87" s="269">
        <f>F156</f>
        <v>1.3969025601349929</v>
      </c>
      <c r="D87" s="227"/>
      <c r="E87" s="913"/>
      <c r="F87" s="277" t="e">
        <f>$F$95+($F$63-$F$95)*1/8</f>
        <v>#DIV/0!</v>
      </c>
      <c r="G87" s="226"/>
      <c r="H87" s="232"/>
      <c r="J87" s="228"/>
      <c r="K87" s="228"/>
      <c r="L87" s="222"/>
      <c r="M87" s="228"/>
      <c r="N87" s="228"/>
      <c r="O87" s="225"/>
      <c r="P87" s="225"/>
      <c r="Q87" s="228"/>
      <c r="T87" s="228"/>
      <c r="U87" s="226"/>
      <c r="V87" s="226"/>
      <c r="W87" s="231"/>
      <c r="X87" s="226"/>
      <c r="Y87" s="228"/>
      <c r="Z87" s="228"/>
      <c r="AA87" s="228"/>
      <c r="AB87" s="228"/>
      <c r="AC87" s="228"/>
      <c r="AD87" s="228"/>
      <c r="AE87" s="228"/>
      <c r="AF87" s="228"/>
      <c r="AG87" s="228"/>
      <c r="AH87" s="228"/>
      <c r="AV87" s="228"/>
      <c r="AW87" s="228"/>
      <c r="AX87" s="228"/>
      <c r="AY87" s="228"/>
      <c r="AZ87" s="228"/>
      <c r="BA87" s="228"/>
      <c r="BB87" s="228"/>
      <c r="BC87" s="228"/>
      <c r="BD87" s="228"/>
      <c r="BE87" s="228"/>
      <c r="BF87" s="228"/>
      <c r="BG87" s="228"/>
      <c r="BH87" s="228"/>
      <c r="BI87" s="228"/>
      <c r="BJ87" s="228"/>
      <c r="BK87" s="228"/>
    </row>
    <row r="88" spans="1:63">
      <c r="A88" s="245"/>
      <c r="B88" s="269">
        <f>F157</f>
        <v>-0.13661346012857814</v>
      </c>
      <c r="C88" s="269">
        <f>F158</f>
        <v>1.3969025601349929</v>
      </c>
      <c r="D88" s="227"/>
      <c r="E88" s="913"/>
      <c r="F88" s="277" t="e">
        <f>F87-HUW_*SIN($F$58)</f>
        <v>#DIV/0!</v>
      </c>
      <c r="G88" s="226"/>
      <c r="H88" s="232"/>
      <c r="J88" s="228"/>
      <c r="K88" s="228"/>
      <c r="L88" s="222"/>
      <c r="M88" s="228"/>
      <c r="O88" s="232"/>
      <c r="Q88" s="222"/>
      <c r="T88" s="228"/>
      <c r="U88" s="226"/>
      <c r="V88" s="226"/>
      <c r="W88" s="231"/>
      <c r="X88" s="226"/>
      <c r="Y88" s="228"/>
      <c r="Z88" s="228"/>
      <c r="AA88" s="228"/>
      <c r="AB88" s="228"/>
      <c r="AC88" s="228"/>
      <c r="AD88" s="228"/>
      <c r="AE88" s="228"/>
      <c r="AF88" s="228"/>
      <c r="AG88" s="228"/>
      <c r="AH88" s="228"/>
      <c r="AV88" s="228"/>
      <c r="AW88" s="228"/>
      <c r="AX88" s="228"/>
      <c r="AY88" s="228"/>
      <c r="AZ88" s="228"/>
      <c r="BA88" s="228"/>
      <c r="BB88" s="228"/>
      <c r="BC88" s="228"/>
      <c r="BD88" s="228"/>
      <c r="BE88" s="228"/>
      <c r="BF88" s="228"/>
      <c r="BG88" s="228"/>
      <c r="BH88" s="228"/>
      <c r="BI88" s="228"/>
      <c r="BJ88" s="228"/>
      <c r="BK88" s="228"/>
    </row>
    <row r="89" spans="1:63">
      <c r="A89" s="245" t="s">
        <v>1769</v>
      </c>
      <c r="B89" s="269">
        <f>F240</f>
        <v>-0.13661346012857814</v>
      </c>
      <c r="C89" s="269">
        <f>F241</f>
        <v>1.3969025601349929</v>
      </c>
      <c r="D89" s="227"/>
      <c r="E89" s="913"/>
      <c r="F89" s="277" t="e">
        <f>F81+(F79-F87)*TAN($F$58)</f>
        <v>#DIV/0!</v>
      </c>
      <c r="G89" s="226"/>
      <c r="H89" s="232"/>
      <c r="J89" s="228"/>
      <c r="K89" s="228"/>
      <c r="L89" s="222"/>
      <c r="M89" s="228"/>
      <c r="N89" s="228"/>
      <c r="O89" s="225"/>
      <c r="P89" s="225"/>
      <c r="Q89" s="228"/>
      <c r="T89" s="228"/>
      <c r="U89" s="228"/>
      <c r="V89" s="228"/>
      <c r="W89" s="225"/>
      <c r="X89" s="228"/>
      <c r="Y89" s="228"/>
      <c r="Z89" s="229"/>
      <c r="AA89" s="229"/>
      <c r="AB89" s="228"/>
      <c r="AC89" s="228"/>
      <c r="AD89" s="228"/>
      <c r="AE89" s="228"/>
      <c r="AF89" s="228"/>
      <c r="AG89" s="228"/>
      <c r="AH89" s="228"/>
      <c r="AV89" s="228"/>
      <c r="AW89" s="228"/>
      <c r="AX89" s="228"/>
      <c r="AY89" s="228"/>
      <c r="AZ89" s="228"/>
      <c r="BA89" s="228"/>
      <c r="BB89" s="228"/>
      <c r="BC89" s="228"/>
      <c r="BD89" s="228"/>
      <c r="BE89" s="228"/>
      <c r="BF89" s="228"/>
      <c r="BG89" s="228"/>
      <c r="BH89" s="228"/>
      <c r="BI89" s="228"/>
      <c r="BJ89" s="228"/>
      <c r="BK89" s="228"/>
    </row>
    <row r="90" spans="1:63">
      <c r="A90" s="245"/>
      <c r="B90" s="269" t="e">
        <f>F242</f>
        <v>#DIV/0!</v>
      </c>
      <c r="C90" s="269" t="e">
        <f>F243</f>
        <v>#DIV/0!</v>
      </c>
      <c r="D90" s="227"/>
      <c r="E90" s="913"/>
      <c r="F90" s="237" t="e">
        <f>F89-HUW_*COS($F$58)</f>
        <v>#DIV/0!</v>
      </c>
      <c r="G90" s="226"/>
      <c r="H90" s="232"/>
      <c r="J90" s="225"/>
      <c r="K90" s="228"/>
      <c r="L90" s="222"/>
      <c r="M90" s="228"/>
      <c r="N90" s="228"/>
      <c r="O90" s="225"/>
      <c r="P90" s="228"/>
      <c r="Q90" s="228"/>
      <c r="T90" s="228"/>
      <c r="U90" s="228"/>
      <c r="V90" s="228"/>
      <c r="W90" s="225"/>
      <c r="X90" s="228"/>
      <c r="Y90" s="228"/>
      <c r="Z90" s="225"/>
      <c r="AA90" s="225"/>
      <c r="AB90" s="228"/>
      <c r="AC90" s="228"/>
      <c r="AD90" s="228"/>
      <c r="AE90" s="228"/>
      <c r="AF90" s="228"/>
      <c r="AG90" s="228"/>
      <c r="AH90" s="228"/>
      <c r="AV90" s="228"/>
      <c r="AW90" s="228"/>
      <c r="AX90" s="228"/>
      <c r="AY90" s="228"/>
      <c r="AZ90" s="228"/>
      <c r="BA90" s="228"/>
      <c r="BB90" s="228"/>
      <c r="BC90" s="228"/>
      <c r="BD90" s="228"/>
      <c r="BE90" s="228"/>
      <c r="BF90" s="228"/>
      <c r="BG90" s="228"/>
      <c r="BH90" s="228"/>
      <c r="BI90" s="228"/>
      <c r="BJ90" s="228"/>
      <c r="BK90" s="228"/>
    </row>
    <row r="91" spans="1:63">
      <c r="A91" s="245" t="s">
        <v>1770</v>
      </c>
      <c r="B91" s="269">
        <f>F159</f>
        <v>0</v>
      </c>
      <c r="C91" s="269">
        <f>F161</f>
        <v>-0.2</v>
      </c>
      <c r="D91" s="227"/>
      <c r="E91" s="911" t="s">
        <v>174</v>
      </c>
      <c r="F91" s="275"/>
      <c r="G91" s="226"/>
      <c r="H91" s="232"/>
      <c r="J91" s="228"/>
      <c r="K91" s="228"/>
      <c r="L91" s="222"/>
      <c r="M91" s="228"/>
      <c r="N91" s="226"/>
      <c r="O91" s="225"/>
      <c r="P91" s="228"/>
      <c r="Q91" s="228"/>
      <c r="T91" s="228"/>
      <c r="U91" s="228"/>
      <c r="V91" s="228"/>
      <c r="W91" s="225"/>
      <c r="X91" s="228"/>
      <c r="Y91" s="228"/>
      <c r="Z91" s="225"/>
      <c r="AA91" s="225"/>
      <c r="AB91" s="228"/>
      <c r="AC91" s="228"/>
      <c r="AD91" s="228"/>
      <c r="AE91" s="228"/>
      <c r="AF91" s="228"/>
      <c r="AG91" s="228"/>
      <c r="AH91" s="228"/>
      <c r="BJ91" s="228"/>
      <c r="BK91" s="228"/>
    </row>
    <row r="92" spans="1:63">
      <c r="A92" s="245"/>
      <c r="B92" s="269">
        <f>F160</f>
        <v>0.4</v>
      </c>
      <c r="C92" s="269">
        <f>F162</f>
        <v>-0.2</v>
      </c>
      <c r="D92" s="227"/>
      <c r="E92" s="913"/>
      <c r="F92" s="275"/>
      <c r="G92" s="226"/>
      <c r="H92" s="232"/>
      <c r="J92" s="228"/>
      <c r="K92" s="228"/>
      <c r="L92" s="222"/>
      <c r="M92" s="228"/>
      <c r="N92" s="226"/>
      <c r="O92" s="225"/>
      <c r="P92" s="225"/>
      <c r="Q92" s="228"/>
      <c r="T92" s="228"/>
      <c r="U92" s="226"/>
      <c r="V92" s="226"/>
      <c r="W92" s="231"/>
      <c r="X92" s="226"/>
      <c r="Y92" s="228"/>
      <c r="Z92" s="225"/>
      <c r="AA92" s="225"/>
      <c r="AB92" s="228"/>
      <c r="AC92" s="228"/>
      <c r="AD92" s="228"/>
      <c r="AE92" s="228"/>
      <c r="AF92" s="228"/>
      <c r="AG92" s="228"/>
      <c r="AH92" s="228"/>
      <c r="BJ92" s="228"/>
      <c r="BK92" s="228"/>
    </row>
    <row r="93" spans="1:63">
      <c r="A93" s="245" t="s">
        <v>1771</v>
      </c>
      <c r="B93" s="269">
        <f>B60</f>
        <v>0</v>
      </c>
      <c r="C93" s="269">
        <f>C60</f>
        <v>-4.9999999999999989E-2</v>
      </c>
      <c r="D93" s="227"/>
      <c r="E93" s="913"/>
      <c r="F93" s="275"/>
      <c r="G93" s="226"/>
      <c r="H93" s="232"/>
      <c r="J93" s="228"/>
      <c r="K93" s="228"/>
      <c r="L93" s="222"/>
      <c r="M93" s="228"/>
      <c r="N93" s="228"/>
      <c r="O93" s="225"/>
      <c r="P93" s="225"/>
      <c r="Q93" s="225"/>
      <c r="T93" s="228"/>
      <c r="Y93" s="228"/>
      <c r="Z93" s="228"/>
      <c r="AA93" s="228"/>
      <c r="AB93" s="228"/>
      <c r="AC93" s="228"/>
      <c r="AD93" s="228"/>
      <c r="AE93" s="228"/>
      <c r="AF93" s="228"/>
      <c r="AG93" s="228"/>
      <c r="AH93" s="228"/>
      <c r="BJ93" s="228"/>
      <c r="BK93" s="228"/>
    </row>
    <row r="94" spans="1:63">
      <c r="A94" s="245"/>
      <c r="B94" s="269">
        <f>B68</f>
        <v>-0.13661346012857814</v>
      </c>
      <c r="C94" s="269">
        <f>C68</f>
        <v>1.3969025601349929</v>
      </c>
      <c r="D94" s="227"/>
      <c r="E94" s="913"/>
      <c r="F94" s="275"/>
      <c r="G94" s="226"/>
      <c r="H94" s="232"/>
      <c r="J94" s="228"/>
      <c r="K94" s="228"/>
      <c r="L94" s="222"/>
      <c r="M94" s="228"/>
      <c r="N94" s="228"/>
      <c r="O94" s="225"/>
      <c r="P94" s="225"/>
      <c r="Q94" s="225"/>
      <c r="T94" s="228"/>
      <c r="U94" s="228"/>
      <c r="V94" s="226"/>
      <c r="W94" s="228"/>
      <c r="X94" s="228"/>
      <c r="Y94" s="228"/>
      <c r="Z94" s="226"/>
      <c r="AA94" s="226"/>
      <c r="AB94" s="228"/>
      <c r="AC94" s="228"/>
      <c r="AD94" s="228"/>
      <c r="AE94" s="228"/>
      <c r="AF94" s="228"/>
      <c r="AG94" s="228"/>
      <c r="AH94" s="228"/>
      <c r="BJ94" s="228"/>
      <c r="BK94" s="228"/>
    </row>
    <row r="95" spans="1:63">
      <c r="A95" s="254" t="s">
        <v>1772</v>
      </c>
      <c r="B95" s="269" t="b">
        <f>F175</f>
        <v>0</v>
      </c>
      <c r="C95" s="269" t="b">
        <f>F177</f>
        <v>0</v>
      </c>
      <c r="D95" s="222"/>
      <c r="E95" s="913"/>
      <c r="F95" s="237" t="e">
        <f>LH_-LL_*COS($F$58)-$F$18</f>
        <v>#DIV/0!</v>
      </c>
      <c r="G95" s="226"/>
      <c r="H95" s="232"/>
      <c r="I95" s="228"/>
      <c r="J95" s="228"/>
      <c r="K95" s="228"/>
      <c r="L95" s="228"/>
      <c r="M95" s="228"/>
      <c r="N95" s="228"/>
      <c r="O95" s="225"/>
      <c r="P95" s="228"/>
      <c r="Q95" s="228"/>
      <c r="T95" s="228"/>
      <c r="W95" s="232"/>
      <c r="X95" s="232"/>
      <c r="Y95" s="232"/>
      <c r="Z95" s="232"/>
      <c r="AA95" s="232"/>
      <c r="AB95" s="228"/>
      <c r="AG95" s="228"/>
      <c r="AH95" s="228"/>
      <c r="BJ95" s="228"/>
      <c r="BK95" s="228"/>
    </row>
    <row r="96" spans="1:63">
      <c r="A96" s="254"/>
      <c r="B96" s="269" t="b">
        <f>F176</f>
        <v>0</v>
      </c>
      <c r="C96" s="269" t="b">
        <f>F178</f>
        <v>0</v>
      </c>
      <c r="D96" s="222"/>
      <c r="E96" s="913"/>
      <c r="F96" s="237" t="e">
        <f>F95-HHB_*SIN($F$58)</f>
        <v>#DIV/0!</v>
      </c>
      <c r="G96" s="226"/>
      <c r="H96" s="232"/>
      <c r="I96" s="228"/>
      <c r="J96" s="228"/>
      <c r="K96" s="228"/>
      <c r="L96" s="222"/>
      <c r="M96" s="228"/>
      <c r="N96" s="228"/>
      <c r="O96" s="225"/>
      <c r="P96" s="228"/>
      <c r="Q96" s="228"/>
      <c r="T96" s="228"/>
      <c r="V96" s="232"/>
      <c r="W96" s="232"/>
      <c r="X96" s="232"/>
      <c r="Y96" s="232"/>
      <c r="Z96" s="232"/>
      <c r="AA96" s="232"/>
      <c r="AB96" s="228"/>
      <c r="AG96" s="228"/>
      <c r="AH96" s="228"/>
      <c r="BJ96" s="228"/>
      <c r="BK96" s="228"/>
    </row>
    <row r="97" spans="1:63">
      <c r="A97" s="254"/>
      <c r="B97" s="269" t="b">
        <f>F180</f>
        <v>0</v>
      </c>
      <c r="C97" s="269" t="b">
        <f>F182</f>
        <v>0</v>
      </c>
      <c r="D97" s="222"/>
      <c r="E97" s="913"/>
      <c r="F97" s="237" t="e">
        <f>LL_*SIN($F$58)</f>
        <v>#DIV/0!</v>
      </c>
      <c r="G97" s="226"/>
      <c r="H97" s="232"/>
      <c r="I97" s="228"/>
      <c r="J97" s="228"/>
      <c r="K97" s="228"/>
      <c r="L97" s="228"/>
      <c r="M97" s="228"/>
      <c r="N97" s="228"/>
      <c r="O97" s="232"/>
      <c r="P97" s="228"/>
      <c r="Q97" s="228"/>
      <c r="T97" s="228"/>
      <c r="U97" s="228"/>
      <c r="W97" s="232"/>
      <c r="X97" s="232"/>
      <c r="Y97" s="225"/>
      <c r="Z97" s="225"/>
      <c r="AA97" s="225"/>
      <c r="AB97" s="228"/>
      <c r="AG97" s="228"/>
      <c r="AH97" s="228"/>
      <c r="BJ97" s="228"/>
      <c r="BK97" s="228"/>
    </row>
    <row r="98" spans="1:63">
      <c r="A98" s="254"/>
      <c r="B98" s="269" t="b">
        <f>F181</f>
        <v>0</v>
      </c>
      <c r="C98" s="269" t="b">
        <f>F183</f>
        <v>0</v>
      </c>
      <c r="D98" s="222"/>
      <c r="E98" s="913"/>
      <c r="F98" s="237" t="e">
        <f>F97-HHB_*COS($F$58)</f>
        <v>#DIV/0!</v>
      </c>
      <c r="G98" s="226"/>
      <c r="H98" s="232"/>
      <c r="I98" s="228"/>
      <c r="J98" s="228"/>
      <c r="K98" s="228"/>
      <c r="L98" s="228"/>
      <c r="M98" s="228"/>
      <c r="N98" s="228"/>
      <c r="O98" s="225"/>
      <c r="P98" s="228"/>
      <c r="Q98" s="228"/>
      <c r="T98" s="228"/>
      <c r="U98" s="228"/>
      <c r="W98" s="232"/>
      <c r="X98" s="232"/>
      <c r="Y98" s="225"/>
      <c r="Z98" s="225"/>
      <c r="AA98" s="225"/>
      <c r="AB98" s="228"/>
      <c r="AG98" s="228"/>
      <c r="AH98" s="228"/>
      <c r="BJ98" s="228"/>
      <c r="BK98" s="228"/>
    </row>
    <row r="99" spans="1:63">
      <c r="A99" s="254" t="s">
        <v>1773</v>
      </c>
      <c r="B99" s="269" t="b">
        <f>F184</f>
        <v>0</v>
      </c>
      <c r="C99" s="269" t="b">
        <f>F186</f>
        <v>0</v>
      </c>
      <c r="D99" s="222"/>
      <c r="E99" s="911" t="s">
        <v>1765</v>
      </c>
      <c r="F99" s="237">
        <f>LH_-J_-F18</f>
        <v>0</v>
      </c>
      <c r="G99" s="226"/>
      <c r="H99" s="232"/>
      <c r="I99" s="228"/>
      <c r="J99" s="228"/>
      <c r="K99" s="228"/>
      <c r="L99" s="228"/>
      <c r="M99" s="228"/>
      <c r="N99" s="229"/>
      <c r="O99" s="252"/>
      <c r="P99" s="229"/>
      <c r="Q99" s="228"/>
      <c r="T99" s="228"/>
      <c r="W99" s="232"/>
      <c r="X99" s="232"/>
      <c r="Y99" s="225"/>
      <c r="Z99" s="225"/>
      <c r="AA99" s="225"/>
      <c r="AB99" s="228"/>
      <c r="AG99" s="228"/>
      <c r="AH99" s="228"/>
      <c r="BJ99" s="228"/>
      <c r="BK99" s="228"/>
    </row>
    <row r="100" spans="1:63">
      <c r="A100" s="254"/>
      <c r="B100" s="269" t="b">
        <f>F185</f>
        <v>0</v>
      </c>
      <c r="C100" s="269" t="b">
        <f>F187</f>
        <v>0</v>
      </c>
      <c r="D100" s="222"/>
      <c r="E100" s="910"/>
      <c r="F100" s="237">
        <f>F99</f>
        <v>0</v>
      </c>
      <c r="G100" s="226"/>
      <c r="H100" s="232"/>
      <c r="I100" s="228"/>
      <c r="J100" s="228"/>
      <c r="K100" s="228"/>
      <c r="L100" s="222"/>
      <c r="M100" s="228"/>
      <c r="N100" s="229"/>
      <c r="O100" s="260"/>
      <c r="P100" s="228"/>
      <c r="Q100" s="228"/>
      <c r="T100" s="228"/>
      <c r="X100" s="228"/>
      <c r="Y100" s="228"/>
      <c r="Z100" s="228"/>
      <c r="AA100" s="228"/>
      <c r="AB100" s="228"/>
      <c r="AG100" s="228"/>
      <c r="AH100" s="228"/>
      <c r="BJ100" s="228"/>
      <c r="BK100" s="228"/>
    </row>
    <row r="101" spans="1:63">
      <c r="A101" s="254"/>
      <c r="B101" s="269" t="b">
        <f>F189</f>
        <v>0</v>
      </c>
      <c r="C101" s="269" t="b">
        <f>F191</f>
        <v>0</v>
      </c>
      <c r="D101" s="222"/>
      <c r="E101" s="910"/>
      <c r="F101" s="237">
        <v>0</v>
      </c>
      <c r="I101" s="228"/>
      <c r="J101" s="225"/>
      <c r="K101" s="225"/>
      <c r="L101" s="225"/>
      <c r="M101" s="225"/>
      <c r="N101" s="225"/>
      <c r="O101" s="225"/>
      <c r="P101" s="228"/>
      <c r="Q101" s="225"/>
      <c r="R101" s="225"/>
      <c r="S101" s="225"/>
      <c r="T101" s="225"/>
      <c r="W101" s="232"/>
      <c r="X101" s="232"/>
      <c r="AF101" s="228"/>
      <c r="AG101" s="228"/>
      <c r="AH101" s="228"/>
      <c r="BJ101" s="228"/>
      <c r="BK101" s="228"/>
    </row>
    <row r="102" spans="1:63">
      <c r="A102" s="254"/>
      <c r="B102" s="269" t="b">
        <f>F190</f>
        <v>0</v>
      </c>
      <c r="C102" s="269" t="b">
        <f>F192</f>
        <v>0</v>
      </c>
      <c r="D102" s="222"/>
      <c r="E102" s="910"/>
      <c r="F102" s="237">
        <f>P_+F23</f>
        <v>1.4</v>
      </c>
      <c r="I102" s="228"/>
      <c r="J102" s="225"/>
      <c r="K102" s="225"/>
      <c r="L102" s="225"/>
      <c r="M102" s="225"/>
      <c r="O102" s="222"/>
      <c r="P102" s="228"/>
      <c r="Q102" s="228"/>
      <c r="T102" s="228"/>
      <c r="AF102" s="228"/>
      <c r="AG102" s="228"/>
      <c r="AH102" s="228"/>
      <c r="AL102" s="228"/>
      <c r="AM102" s="228"/>
      <c r="AN102" s="228"/>
      <c r="AO102" s="228"/>
      <c r="AP102" s="228"/>
      <c r="AQ102" s="228"/>
      <c r="AR102" s="228"/>
      <c r="AS102" s="228"/>
      <c r="AT102" s="228"/>
      <c r="BJ102" s="228"/>
      <c r="BK102" s="228"/>
    </row>
    <row r="103" spans="1:63">
      <c r="A103" s="254" t="s">
        <v>1774</v>
      </c>
      <c r="B103" s="269" t="b">
        <f>F223</f>
        <v>0</v>
      </c>
      <c r="C103" s="269" t="b">
        <f>F224</f>
        <v>0</v>
      </c>
      <c r="D103" s="222"/>
      <c r="E103" s="910"/>
      <c r="F103" s="237">
        <f>F99-F42</f>
        <v>0</v>
      </c>
      <c r="I103" s="228"/>
      <c r="J103" s="225"/>
      <c r="K103" s="225"/>
      <c r="L103" s="225"/>
      <c r="M103" s="225"/>
      <c r="O103" s="222"/>
      <c r="P103" s="222"/>
      <c r="Q103" s="228"/>
      <c r="T103" s="228"/>
      <c r="AF103" s="228"/>
      <c r="AG103" s="228"/>
      <c r="AH103" s="228"/>
      <c r="AL103" s="228"/>
      <c r="AM103" s="228"/>
      <c r="AN103" s="228"/>
      <c r="AO103" s="228"/>
      <c r="AP103" s="228"/>
      <c r="AQ103" s="228"/>
      <c r="AR103" s="228"/>
      <c r="AS103" s="228"/>
      <c r="AT103" s="228"/>
      <c r="BJ103" s="228"/>
      <c r="BK103" s="228"/>
    </row>
    <row r="104" spans="1:63">
      <c r="A104" s="254"/>
      <c r="B104" s="269" t="b">
        <f>F225</f>
        <v>0</v>
      </c>
      <c r="C104" s="269" t="b">
        <f>F226</f>
        <v>0</v>
      </c>
      <c r="D104" s="222"/>
      <c r="E104" s="910"/>
      <c r="F104" s="237">
        <f>F100-F42</f>
        <v>0</v>
      </c>
      <c r="I104" s="228"/>
      <c r="J104" s="228"/>
      <c r="K104" s="228"/>
      <c r="L104" s="222"/>
      <c r="O104" s="222"/>
      <c r="P104" s="222"/>
      <c r="Q104" s="228"/>
      <c r="T104" s="228"/>
      <c r="AF104" s="228"/>
      <c r="AG104" s="228"/>
      <c r="AH104" s="228"/>
      <c r="AL104" s="228"/>
      <c r="AM104" s="228"/>
      <c r="AN104" s="228"/>
      <c r="AO104" s="228"/>
      <c r="AP104" s="228"/>
      <c r="AQ104" s="228"/>
      <c r="AR104" s="228"/>
      <c r="AS104" s="228"/>
      <c r="AT104" s="228"/>
      <c r="BJ104" s="228"/>
      <c r="BK104" s="228"/>
    </row>
    <row r="105" spans="1:63">
      <c r="A105" s="254"/>
      <c r="B105" s="269" t="b">
        <f>F227</f>
        <v>0</v>
      </c>
      <c r="C105" s="269" t="b">
        <f>F228</f>
        <v>0</v>
      </c>
      <c r="D105" s="222"/>
      <c r="E105" s="910"/>
      <c r="F105" s="237">
        <f>F101-F43</f>
        <v>0</v>
      </c>
      <c r="I105" s="228"/>
      <c r="J105" s="225"/>
      <c r="K105" s="225"/>
      <c r="L105" s="225"/>
      <c r="M105" s="225"/>
      <c r="N105" s="225"/>
      <c r="O105" s="225"/>
      <c r="P105" s="228"/>
      <c r="Q105" s="228"/>
      <c r="T105" s="228"/>
      <c r="U105" s="225"/>
      <c r="V105" s="225"/>
      <c r="W105" s="228"/>
      <c r="X105" s="228"/>
      <c r="Y105" s="228"/>
      <c r="Z105" s="228"/>
      <c r="AA105" s="228"/>
      <c r="AB105" s="228"/>
      <c r="AC105" s="228"/>
      <c r="AD105" s="228"/>
      <c r="AE105" s="228"/>
      <c r="AF105" s="228"/>
      <c r="AG105" s="228"/>
      <c r="AH105" s="228"/>
      <c r="AL105" s="228"/>
      <c r="AM105" s="228"/>
      <c r="AN105" s="228"/>
      <c r="AO105" s="228"/>
      <c r="AP105" s="228"/>
      <c r="AQ105" s="228"/>
      <c r="AR105" s="228"/>
      <c r="AS105" s="228"/>
      <c r="AT105" s="228"/>
      <c r="BJ105" s="228"/>
      <c r="BK105" s="228"/>
    </row>
    <row r="106" spans="1:63">
      <c r="A106" s="254"/>
      <c r="B106" s="269" t="b">
        <f>F229</f>
        <v>0</v>
      </c>
      <c r="C106" s="269" t="b">
        <f>F230</f>
        <v>0</v>
      </c>
      <c r="D106" s="222"/>
      <c r="E106" s="910"/>
      <c r="F106" s="237">
        <f>F102-F43</f>
        <v>1.4</v>
      </c>
      <c r="I106" s="232"/>
      <c r="J106" s="228"/>
      <c r="K106" s="228"/>
      <c r="L106" s="222"/>
      <c r="O106" s="222"/>
      <c r="P106" s="222"/>
      <c r="Q106" s="222"/>
      <c r="R106" s="222"/>
      <c r="S106" s="222"/>
      <c r="AL106" s="228"/>
      <c r="AM106" s="228"/>
      <c r="AN106" s="228"/>
      <c r="AO106" s="228"/>
      <c r="AP106" s="228"/>
      <c r="AQ106" s="228"/>
      <c r="AR106" s="228"/>
      <c r="AS106" s="228"/>
      <c r="AT106" s="228"/>
      <c r="BJ106" s="228"/>
      <c r="BK106" s="228"/>
    </row>
    <row r="107" spans="1:63">
      <c r="A107" s="254"/>
      <c r="B107" s="269" t="b">
        <f>F231</f>
        <v>0</v>
      </c>
      <c r="C107" s="269" t="b">
        <f>F232</f>
        <v>0</v>
      </c>
      <c r="D107" s="222"/>
      <c r="E107" s="910"/>
      <c r="F107" s="237">
        <f>F103*COS(F44)-F105*SIN(F44)+F42</f>
        <v>0</v>
      </c>
      <c r="I107" s="232"/>
      <c r="J107" s="228"/>
      <c r="K107" s="228"/>
      <c r="L107" s="222"/>
      <c r="O107" s="222"/>
      <c r="P107" s="222"/>
      <c r="Q107" s="222"/>
      <c r="R107" s="222"/>
      <c r="S107" s="222"/>
      <c r="AL107" s="228"/>
      <c r="AM107" s="228"/>
      <c r="AN107" s="228"/>
      <c r="AO107" s="228"/>
      <c r="AP107" s="228"/>
      <c r="AQ107" s="228"/>
      <c r="AR107" s="228"/>
      <c r="AS107" s="228"/>
      <c r="AT107" s="228"/>
      <c r="BJ107" s="228"/>
      <c r="BK107" s="228"/>
    </row>
    <row r="108" spans="1:63">
      <c r="A108" s="254"/>
      <c r="B108" s="269" t="b">
        <f>F233</f>
        <v>0</v>
      </c>
      <c r="C108" s="269" t="b">
        <f>F234</f>
        <v>0</v>
      </c>
      <c r="D108" s="222"/>
      <c r="E108" s="910"/>
      <c r="F108" s="237">
        <f>F103*SIN(F44)+F105*COS(F44)+F43</f>
        <v>0</v>
      </c>
      <c r="I108" s="232"/>
      <c r="J108" s="228"/>
      <c r="K108" s="228"/>
      <c r="L108" s="222"/>
      <c r="O108" s="222"/>
      <c r="P108" s="222"/>
      <c r="Q108" s="222"/>
      <c r="R108" s="222"/>
      <c r="S108" s="222"/>
      <c r="AL108" s="228"/>
      <c r="AM108" s="228"/>
      <c r="AN108" s="228"/>
      <c r="AO108" s="228"/>
      <c r="AP108" s="228"/>
      <c r="AQ108" s="228"/>
      <c r="AR108" s="228"/>
      <c r="AS108" s="228"/>
      <c r="AT108" s="228"/>
      <c r="BJ108" s="228"/>
      <c r="BK108" s="228"/>
    </row>
    <row r="109" spans="1:63">
      <c r="A109" s="245" t="s">
        <v>2479</v>
      </c>
      <c r="B109" s="269" t="e">
        <f>F87</f>
        <v>#DIV/0!</v>
      </c>
      <c r="C109" s="269" t="e">
        <f>F89</f>
        <v>#DIV/0!</v>
      </c>
      <c r="D109" s="222"/>
      <c r="E109" s="910"/>
      <c r="F109" s="237">
        <f>F104*COS(F44)-F106*SIN(F44)+F42</f>
        <v>-3.6647727631022406E-2</v>
      </c>
      <c r="I109" s="232"/>
      <c r="J109" s="228"/>
      <c r="K109" s="228"/>
      <c r="L109" s="222"/>
      <c r="O109" s="222"/>
      <c r="P109" s="222"/>
      <c r="Q109" s="222"/>
      <c r="R109" s="222"/>
      <c r="S109" s="222"/>
      <c r="AL109" s="228"/>
      <c r="AM109" s="228"/>
      <c r="AN109" s="228"/>
      <c r="AO109" s="228"/>
      <c r="AP109" s="228"/>
      <c r="AQ109" s="228"/>
      <c r="AR109" s="228"/>
      <c r="AS109" s="228"/>
      <c r="AT109" s="228"/>
      <c r="BJ109" s="228"/>
      <c r="BK109" s="228"/>
    </row>
    <row r="110" spans="1:63">
      <c r="A110" s="245"/>
      <c r="B110" s="269" t="e">
        <f>F88</f>
        <v>#DIV/0!</v>
      </c>
      <c r="C110" s="269" t="e">
        <f>F90</f>
        <v>#DIV/0!</v>
      </c>
      <c r="D110" s="222"/>
      <c r="E110" s="910"/>
      <c r="F110" s="237">
        <f>F104*SIN(F44)+F106*COS(F44)+F43</f>
        <v>1.3995202549657801</v>
      </c>
      <c r="I110" s="232"/>
      <c r="J110" s="228"/>
      <c r="K110" s="228"/>
      <c r="L110" s="222"/>
      <c r="O110" s="222"/>
      <c r="P110" s="222"/>
      <c r="Q110" s="222"/>
      <c r="R110" s="222"/>
      <c r="S110" s="222"/>
      <c r="AL110" s="228"/>
      <c r="AM110" s="228"/>
      <c r="AN110" s="228"/>
      <c r="AO110" s="228"/>
      <c r="AP110" s="228"/>
      <c r="AQ110" s="228"/>
      <c r="AR110" s="228"/>
      <c r="AS110" s="228"/>
      <c r="AT110" s="228"/>
      <c r="BJ110" s="228"/>
      <c r="BK110" s="228"/>
    </row>
    <row r="111" spans="1:63">
      <c r="A111" s="245" t="s">
        <v>174</v>
      </c>
      <c r="B111" s="270">
        <f>LL_*0.008</f>
        <v>0</v>
      </c>
      <c r="C111" s="229"/>
      <c r="D111" s="222"/>
      <c r="E111" s="909" t="s">
        <v>1766</v>
      </c>
      <c r="F111" s="237">
        <f>F103-F25</f>
        <v>-0.1</v>
      </c>
      <c r="I111" s="232"/>
      <c r="J111" s="228"/>
      <c r="K111" s="228"/>
      <c r="L111" s="222"/>
      <c r="O111" s="222"/>
      <c r="P111" s="222"/>
      <c r="Q111" s="222"/>
      <c r="R111" s="222"/>
      <c r="S111" s="222"/>
      <c r="AL111" s="228"/>
      <c r="AM111" s="228"/>
      <c r="AN111" s="228"/>
      <c r="AO111" s="228"/>
      <c r="AP111" s="228"/>
      <c r="AQ111" s="228"/>
      <c r="AR111" s="228"/>
      <c r="AS111" s="228"/>
      <c r="AT111" s="228"/>
      <c r="BJ111" s="228"/>
      <c r="BK111" s="228"/>
    </row>
    <row r="112" spans="1:63">
      <c r="D112" s="222"/>
      <c r="E112" s="910"/>
      <c r="F112" s="237">
        <f>F111</f>
        <v>-0.1</v>
      </c>
      <c r="I112" s="232"/>
      <c r="J112" s="228"/>
      <c r="K112" s="228"/>
      <c r="L112" s="222"/>
      <c r="O112" s="222"/>
      <c r="P112" s="222"/>
      <c r="Q112" s="222"/>
      <c r="R112" s="222"/>
      <c r="S112" s="222"/>
      <c r="AL112" s="228"/>
      <c r="AM112" s="228"/>
      <c r="AN112" s="228"/>
      <c r="AO112" s="228"/>
      <c r="AP112" s="228"/>
      <c r="AQ112" s="228"/>
      <c r="AR112" s="228"/>
      <c r="AS112" s="228"/>
      <c r="AT112" s="228"/>
      <c r="BJ112" s="228"/>
      <c r="BK112" s="228"/>
    </row>
    <row r="113" spans="1:71">
      <c r="D113" s="222"/>
      <c r="E113" s="910"/>
      <c r="F113" s="237">
        <f>F105</f>
        <v>0</v>
      </c>
      <c r="I113" s="232"/>
      <c r="J113" s="228"/>
      <c r="K113" s="228"/>
      <c r="L113" s="222"/>
      <c r="O113" s="222"/>
      <c r="P113" s="222"/>
      <c r="Q113" s="222"/>
      <c r="R113" s="222"/>
      <c r="S113" s="222"/>
      <c r="AL113" s="228"/>
      <c r="AM113" s="228"/>
      <c r="AN113" s="228"/>
      <c r="AO113" s="228"/>
      <c r="AP113" s="228"/>
      <c r="AQ113" s="228"/>
      <c r="AR113" s="228"/>
      <c r="AS113" s="228"/>
      <c r="AT113" s="228"/>
      <c r="BJ113" s="228"/>
      <c r="BK113" s="228"/>
    </row>
    <row r="114" spans="1:71">
      <c r="D114" s="222"/>
      <c r="E114" s="910"/>
      <c r="F114" s="237">
        <f>F106</f>
        <v>1.4</v>
      </c>
      <c r="I114" s="232"/>
      <c r="J114" s="228"/>
      <c r="K114" s="228"/>
      <c r="L114" s="222"/>
      <c r="O114" s="222"/>
      <c r="P114" s="222"/>
      <c r="Q114" s="222"/>
      <c r="R114" s="222"/>
      <c r="S114" s="222"/>
      <c r="AL114" s="228"/>
      <c r="AM114" s="228"/>
      <c r="AN114" s="228"/>
      <c r="AO114" s="228"/>
      <c r="AP114" s="228"/>
      <c r="AQ114" s="228"/>
      <c r="AR114" s="228"/>
      <c r="AS114" s="228"/>
      <c r="AT114" s="228"/>
      <c r="BJ114" s="228"/>
      <c r="BK114" s="228"/>
    </row>
    <row r="115" spans="1:71">
      <c r="D115" s="222"/>
      <c r="E115" s="910"/>
      <c r="F115" s="237">
        <f>F111*COS(F44)-F113*SIN(F44)+F42</f>
        <v>-9.9965732497555734E-2</v>
      </c>
      <c r="J115" s="228"/>
      <c r="K115" s="228"/>
      <c r="L115" s="222"/>
      <c r="O115" s="222"/>
      <c r="P115" s="222"/>
      <c r="Q115" s="222"/>
      <c r="R115" s="222"/>
      <c r="S115" s="222"/>
      <c r="AL115" s="228"/>
      <c r="AM115" s="228"/>
      <c r="AN115" s="228"/>
      <c r="AO115" s="228"/>
      <c r="AP115" s="228"/>
      <c r="AQ115" s="228"/>
      <c r="AR115" s="228"/>
      <c r="AS115" s="228"/>
      <c r="AT115" s="228"/>
      <c r="BJ115" s="228"/>
      <c r="BK115" s="228"/>
    </row>
    <row r="116" spans="1:71">
      <c r="D116" s="222"/>
      <c r="E116" s="910"/>
      <c r="F116" s="237">
        <f>F111*SIN(F44)+F113*COS(F44)+F43</f>
        <v>-2.6176948307873151E-3</v>
      </c>
      <c r="G116" s="228"/>
      <c r="H116" s="225"/>
      <c r="I116" s="225"/>
      <c r="J116" s="228"/>
      <c r="K116" s="228"/>
      <c r="L116" s="222"/>
      <c r="O116" s="222"/>
      <c r="P116" s="222"/>
      <c r="Q116" s="222"/>
      <c r="R116" s="222"/>
      <c r="S116" s="222"/>
      <c r="AL116" s="228"/>
      <c r="AM116" s="228"/>
      <c r="AN116" s="228"/>
      <c r="AO116" s="228"/>
      <c r="AP116" s="228"/>
      <c r="AQ116" s="228"/>
      <c r="AR116" s="228"/>
      <c r="AS116" s="228"/>
      <c r="AT116" s="228"/>
      <c r="BJ116" s="228"/>
      <c r="BK116" s="228"/>
    </row>
    <row r="117" spans="1:71">
      <c r="D117" s="271"/>
      <c r="E117" s="910"/>
      <c r="F117" s="237">
        <f>F112*COS(F44)-F114*SIN(F44)+F42</f>
        <v>-0.13661346012857814</v>
      </c>
      <c r="G117" s="229"/>
      <c r="H117" s="229"/>
      <c r="I117" s="229"/>
      <c r="L117" s="228"/>
      <c r="M117" s="225"/>
      <c r="N117" s="225"/>
      <c r="O117" s="228"/>
      <c r="P117" s="225"/>
      <c r="Q117" s="225"/>
      <c r="AT117" s="228"/>
      <c r="AU117" s="228"/>
      <c r="AV117" s="228"/>
      <c r="AW117" s="228"/>
      <c r="AX117" s="228"/>
      <c r="AY117" s="228"/>
      <c r="AZ117" s="228"/>
      <c r="BA117" s="228"/>
      <c r="BB117" s="228"/>
      <c r="BR117" s="228"/>
      <c r="BS117" s="228"/>
    </row>
    <row r="118" spans="1:71">
      <c r="E118" s="910"/>
      <c r="F118" s="237">
        <f>F112*SIN(F44)+F114*COS(F44)+F43</f>
        <v>1.3969025601349929</v>
      </c>
      <c r="L118" s="222"/>
      <c r="M118" s="225"/>
      <c r="N118" s="225"/>
      <c r="O118" s="228"/>
      <c r="P118" s="225"/>
      <c r="Q118" s="225"/>
      <c r="AT118" s="228"/>
      <c r="AU118" s="228"/>
      <c r="AV118" s="228"/>
      <c r="AW118" s="228"/>
      <c r="AX118" s="228"/>
      <c r="AY118" s="228"/>
      <c r="AZ118" s="228"/>
      <c r="BA118" s="228"/>
      <c r="BB118" s="228"/>
      <c r="BD118" s="228"/>
      <c r="BE118" s="228"/>
      <c r="BF118" s="228"/>
      <c r="BG118" s="228"/>
      <c r="BH118" s="228"/>
      <c r="BI118" s="228"/>
      <c r="BJ118" s="228"/>
      <c r="BK118" s="228"/>
      <c r="BL118" s="228"/>
      <c r="BM118" s="228"/>
      <c r="BN118" s="228"/>
      <c r="BO118" s="228"/>
      <c r="BP118" s="228"/>
      <c r="BQ118" s="228"/>
      <c r="BR118" s="228"/>
      <c r="BS118" s="228"/>
    </row>
    <row r="119" spans="1:71">
      <c r="E119" s="916" t="s">
        <v>1775</v>
      </c>
      <c r="F119" s="237">
        <f>F111</f>
        <v>-0.1</v>
      </c>
      <c r="L119" s="228"/>
      <c r="M119" s="225"/>
      <c r="N119" s="225"/>
      <c r="O119" s="222"/>
      <c r="P119" s="225"/>
      <c r="Q119" s="225"/>
      <c r="AT119" s="228"/>
      <c r="AU119" s="228"/>
      <c r="AV119" s="228"/>
      <c r="AW119" s="228"/>
      <c r="AX119" s="228"/>
      <c r="AY119" s="228"/>
      <c r="AZ119" s="228"/>
      <c r="BA119" s="228"/>
      <c r="BB119" s="228"/>
      <c r="BD119" s="228"/>
      <c r="BE119" s="228"/>
      <c r="BF119" s="228"/>
      <c r="BG119" s="228"/>
      <c r="BH119" s="228"/>
      <c r="BI119" s="228"/>
      <c r="BJ119" s="228"/>
      <c r="BK119" s="228"/>
      <c r="BL119" s="228"/>
      <c r="BM119" s="228"/>
      <c r="BN119" s="228"/>
      <c r="BO119" s="228"/>
      <c r="BP119" s="228"/>
      <c r="BQ119" s="228"/>
      <c r="BR119" s="228"/>
      <c r="BS119" s="228"/>
    </row>
    <row r="120" spans="1:71">
      <c r="E120" s="920"/>
      <c r="F120" s="237">
        <f>F23+F113</f>
        <v>1.4</v>
      </c>
      <c r="L120" s="222"/>
      <c r="M120" s="225"/>
      <c r="N120" s="225"/>
      <c r="O120" s="228"/>
      <c r="P120" s="225"/>
      <c r="Q120" s="225"/>
      <c r="AT120" s="228"/>
      <c r="AU120" s="228"/>
      <c r="AV120" s="228"/>
      <c r="AW120" s="228"/>
      <c r="AX120" s="228"/>
      <c r="AY120" s="228"/>
      <c r="AZ120" s="228"/>
      <c r="BA120" s="228"/>
      <c r="BB120" s="228"/>
    </row>
    <row r="121" spans="1:71">
      <c r="E121" s="920"/>
      <c r="F121" s="237">
        <f>F119-E_</f>
        <v>-0.1</v>
      </c>
      <c r="L121" s="228"/>
      <c r="M121" s="225"/>
      <c r="N121" s="225"/>
      <c r="O121" s="222"/>
      <c r="P121" s="225"/>
      <c r="Q121" s="225"/>
      <c r="AT121" s="228"/>
      <c r="AU121" s="228"/>
      <c r="AV121" s="228"/>
      <c r="AW121" s="228"/>
      <c r="AX121" s="228"/>
      <c r="AY121" s="228"/>
      <c r="AZ121" s="228"/>
      <c r="BA121" s="228"/>
      <c r="BB121" s="228"/>
    </row>
    <row r="122" spans="1:71">
      <c r="E122" s="920"/>
      <c r="F122" s="237">
        <f>F120</f>
        <v>1.4</v>
      </c>
      <c r="L122" s="222"/>
      <c r="M122" s="225"/>
      <c r="N122" s="225"/>
      <c r="O122" s="228"/>
      <c r="P122" s="225"/>
      <c r="Q122" s="225"/>
      <c r="AT122" s="228"/>
      <c r="AU122" s="228"/>
      <c r="AV122" s="228"/>
      <c r="AW122" s="228"/>
      <c r="AX122" s="228"/>
      <c r="AY122" s="228"/>
      <c r="AZ122" s="228"/>
      <c r="BA122" s="228"/>
      <c r="BB122" s="228"/>
    </row>
    <row r="123" spans="1:71">
      <c r="E123" s="920"/>
      <c r="F123" s="237">
        <f>F119*COS($F$44)-F120*SIN($F$44)+$F$42</f>
        <v>-0.13661346012857814</v>
      </c>
      <c r="L123" s="222"/>
      <c r="O123" s="222"/>
      <c r="P123" s="225"/>
      <c r="Q123" s="225"/>
      <c r="AT123" s="228"/>
      <c r="AU123" s="228"/>
      <c r="AV123" s="228"/>
      <c r="AW123" s="228"/>
      <c r="AX123" s="228"/>
      <c r="AY123" s="228"/>
      <c r="AZ123" s="228"/>
      <c r="BA123" s="228"/>
      <c r="BB123" s="228"/>
    </row>
    <row r="124" spans="1:71">
      <c r="A124" s="272"/>
      <c r="B124" s="273"/>
      <c r="C124" s="273"/>
      <c r="E124" s="920"/>
      <c r="F124" s="237">
        <f>F119*SIN($F$44)+F120*COS($F$44)+$F$43</f>
        <v>1.3969025601349929</v>
      </c>
      <c r="O124" s="228"/>
      <c r="P124" s="225"/>
      <c r="Q124" s="222"/>
      <c r="AT124" s="228"/>
      <c r="AU124" s="228"/>
      <c r="AV124" s="228"/>
      <c r="AW124" s="228"/>
      <c r="AX124" s="228"/>
      <c r="AY124" s="228"/>
      <c r="AZ124" s="228"/>
      <c r="BA124" s="228"/>
      <c r="BB124" s="228"/>
    </row>
    <row r="125" spans="1:71">
      <c r="E125" s="920"/>
      <c r="F125" s="237">
        <f>F121*COS($F$44)-F122*SIN($F$44)+$F$42</f>
        <v>-0.13661346012857814</v>
      </c>
      <c r="O125" s="222"/>
      <c r="P125" s="222"/>
      <c r="Q125" s="222"/>
      <c r="AT125" s="228"/>
      <c r="AU125" s="228"/>
      <c r="AV125" s="228"/>
      <c r="AW125" s="228"/>
      <c r="AX125" s="228"/>
      <c r="AY125" s="228"/>
      <c r="AZ125" s="228"/>
      <c r="BA125" s="228"/>
      <c r="BB125" s="228"/>
    </row>
    <row r="126" spans="1:71">
      <c r="E126" s="917"/>
      <c r="F126" s="237">
        <f>F121*SIN($F$44)+F122*COS($F$44)+$F$43</f>
        <v>1.3969025601349929</v>
      </c>
      <c r="O126" s="222"/>
      <c r="P126" s="222"/>
      <c r="AT126" s="228"/>
      <c r="AU126" s="228"/>
      <c r="AV126" s="228"/>
      <c r="AW126" s="228"/>
      <c r="AX126" s="228"/>
      <c r="AY126" s="228"/>
      <c r="AZ126" s="228"/>
      <c r="BA126" s="228"/>
      <c r="BB126" s="228"/>
    </row>
    <row r="127" spans="1:71">
      <c r="E127" s="916" t="s">
        <v>1776</v>
      </c>
      <c r="F127" s="237">
        <f>F119</f>
        <v>-0.1</v>
      </c>
      <c r="L127" s="222"/>
      <c r="N127" s="232"/>
      <c r="P127" s="222"/>
      <c r="AT127" s="228"/>
      <c r="AU127" s="228"/>
      <c r="AV127" s="228"/>
      <c r="AW127" s="228"/>
      <c r="AX127" s="228"/>
      <c r="AY127" s="228"/>
      <c r="AZ127" s="228"/>
      <c r="BA127" s="228"/>
      <c r="BB127" s="228"/>
    </row>
    <row r="128" spans="1:71">
      <c r="E128" s="921"/>
      <c r="F128" s="237">
        <f>F120-F39</f>
        <v>1.2999999999999998</v>
      </c>
      <c r="M128" s="225"/>
      <c r="N128" s="232"/>
      <c r="P128" s="222"/>
      <c r="Q128" s="225"/>
      <c r="AT128" s="228"/>
      <c r="AU128" s="228"/>
      <c r="AV128" s="228"/>
      <c r="AW128" s="228"/>
      <c r="AX128" s="228"/>
      <c r="AY128" s="228"/>
      <c r="AZ128" s="228"/>
      <c r="BA128" s="228"/>
      <c r="BB128" s="228"/>
    </row>
    <row r="129" spans="4:54">
      <c r="E129" s="921"/>
      <c r="F129" s="237">
        <f>F121</f>
        <v>-0.1</v>
      </c>
      <c r="L129" s="228"/>
      <c r="M129" s="225"/>
      <c r="N129" s="225"/>
      <c r="O129" s="222"/>
      <c r="P129" s="222"/>
      <c r="AT129" s="228"/>
      <c r="AU129" s="228"/>
      <c r="AV129" s="228"/>
      <c r="AW129" s="228"/>
      <c r="AX129" s="228"/>
      <c r="AY129" s="228"/>
      <c r="AZ129" s="228"/>
      <c r="BA129" s="228"/>
      <c r="BB129" s="228"/>
    </row>
    <row r="130" spans="4:54">
      <c r="D130" s="274"/>
      <c r="E130" s="921"/>
      <c r="F130" s="237">
        <f>F128</f>
        <v>1.2999999999999998</v>
      </c>
      <c r="G130" s="273"/>
      <c r="H130" s="273"/>
      <c r="I130" s="273"/>
      <c r="J130" s="273"/>
      <c r="L130" s="228"/>
      <c r="M130" s="225"/>
      <c r="N130" s="225"/>
      <c r="O130" s="222"/>
      <c r="P130" s="222"/>
    </row>
    <row r="131" spans="4:54">
      <c r="E131" s="921"/>
      <c r="F131" s="237">
        <f>F127*COS($F$44)-F128*SIN($F$44)+$F$42</f>
        <v>-0.13399576529779084</v>
      </c>
      <c r="L131" s="228"/>
      <c r="M131" s="225"/>
      <c r="N131" s="225"/>
      <c r="O131" s="222"/>
      <c r="P131" s="222"/>
    </row>
    <row r="132" spans="4:54">
      <c r="E132" s="921"/>
      <c r="F132" s="237">
        <f>F127*SIN($F$44)+F128*COS($F$44)+$F$43</f>
        <v>1.2969368276374371</v>
      </c>
      <c r="L132" s="222"/>
      <c r="O132" s="222"/>
      <c r="P132" s="222"/>
    </row>
    <row r="133" spans="4:54">
      <c r="E133" s="921"/>
      <c r="F133" s="237">
        <f>F129*COS($F$44)-F130*SIN($F$44)+$F$42</f>
        <v>-0.13399576529779084</v>
      </c>
      <c r="M133" s="226"/>
      <c r="N133" s="226"/>
      <c r="O133" s="228"/>
      <c r="P133" s="222"/>
    </row>
    <row r="134" spans="4:54">
      <c r="E134" s="922"/>
      <c r="F134" s="237">
        <f>F129*SIN($F$44)+F130*COS($F$44)+$F$43</f>
        <v>1.2969368276374371</v>
      </c>
      <c r="L134" s="228"/>
      <c r="M134" s="225"/>
      <c r="N134" s="225"/>
      <c r="O134" s="228"/>
    </row>
    <row r="135" spans="4:54">
      <c r="E135" s="916" t="s">
        <v>1457</v>
      </c>
      <c r="F135" s="237">
        <f>F111</f>
        <v>-0.1</v>
      </c>
      <c r="L135" s="225"/>
      <c r="M135" s="225"/>
      <c r="N135" s="225"/>
      <c r="O135" s="228"/>
    </row>
    <row r="136" spans="4:54">
      <c r="E136" s="920"/>
      <c r="F136" s="237">
        <f>F111-MHW_</f>
        <v>-0.1</v>
      </c>
      <c r="L136" s="225"/>
      <c r="M136" s="225"/>
      <c r="N136" s="225"/>
      <c r="O136" s="228"/>
      <c r="P136" s="222"/>
    </row>
    <row r="137" spans="4:54">
      <c r="E137" s="920"/>
      <c r="F137" s="237">
        <f>F23+P_/2</f>
        <v>1.4</v>
      </c>
      <c r="L137" s="225"/>
      <c r="M137" s="225"/>
      <c r="N137" s="225"/>
      <c r="O137" s="228"/>
    </row>
    <row r="138" spans="4:54">
      <c r="E138" s="920"/>
      <c r="F138" s="237">
        <f>F137</f>
        <v>1.4</v>
      </c>
      <c r="L138" s="222"/>
      <c r="O138" s="222"/>
    </row>
    <row r="139" spans="4:54">
      <c r="E139" s="920"/>
      <c r="F139" s="237">
        <f>F135*COS($F$44)-F137*SIN($F$44)+$F$42</f>
        <v>-0.13661346012857814</v>
      </c>
      <c r="L139" s="228"/>
      <c r="M139" s="228"/>
      <c r="N139" s="228"/>
      <c r="O139" s="228"/>
    </row>
    <row r="140" spans="4:54">
      <c r="E140" s="920"/>
      <c r="F140" s="237">
        <f>F135*SIN($F$44)+F137*COS($F$44)+$F$43</f>
        <v>1.3969025601349929</v>
      </c>
      <c r="L140" s="228"/>
      <c r="M140" s="228"/>
      <c r="N140" s="228"/>
      <c r="O140" s="228"/>
    </row>
    <row r="141" spans="4:54">
      <c r="E141" s="920"/>
      <c r="F141" s="237">
        <f>F136*COS($F$44)-F138*SIN($F$44)+$F$42</f>
        <v>-0.13661346012857814</v>
      </c>
      <c r="L141" s="225"/>
      <c r="M141" s="225"/>
      <c r="N141" s="228"/>
      <c r="O141" s="228"/>
    </row>
    <row r="142" spans="4:54">
      <c r="E142" s="917"/>
      <c r="F142" s="237">
        <f>F136*SIN($F$44)+F138*COS($F$44)+$F$43</f>
        <v>1.3969025601349929</v>
      </c>
      <c r="L142" s="225"/>
      <c r="M142" s="225"/>
      <c r="N142" s="228"/>
      <c r="O142" s="228"/>
    </row>
    <row r="143" spans="4:54">
      <c r="E143" s="916" t="s">
        <v>1459</v>
      </c>
      <c r="F143" s="237">
        <f>F111</f>
        <v>-0.1</v>
      </c>
      <c r="L143" s="225"/>
      <c r="M143" s="225"/>
      <c r="N143" s="228"/>
      <c r="O143" s="228"/>
    </row>
    <row r="144" spans="4:54">
      <c r="E144" s="920"/>
      <c r="F144" s="237">
        <f>F111-MTW_</f>
        <v>-0.1</v>
      </c>
      <c r="L144" s="228"/>
      <c r="M144" s="225"/>
      <c r="N144" s="228"/>
      <c r="O144" s="228"/>
    </row>
    <row r="145" spans="5:22">
      <c r="E145" s="920"/>
      <c r="F145" s="237">
        <f>F23+P_*3/4</f>
        <v>1.4</v>
      </c>
      <c r="L145" s="222"/>
      <c r="N145" s="228"/>
      <c r="O145" s="228"/>
    </row>
    <row r="146" spans="5:22">
      <c r="E146" s="920"/>
      <c r="F146" s="237">
        <f>F145</f>
        <v>1.4</v>
      </c>
    </row>
    <row r="147" spans="5:22">
      <c r="E147" s="920"/>
      <c r="F147" s="237">
        <f>F143*COS($F$44)-F145*SIN($F$44)+$F$42</f>
        <v>-0.13661346012857814</v>
      </c>
      <c r="M147" s="228"/>
      <c r="N147" s="228"/>
      <c r="O147" s="228"/>
      <c r="P147" s="222"/>
    </row>
    <row r="148" spans="5:22">
      <c r="E148" s="920"/>
      <c r="F148" s="237">
        <f>F143*SIN($F$44)+F145*COS($F$44)+$F$43</f>
        <v>1.3969025601349929</v>
      </c>
      <c r="L148" s="228"/>
      <c r="M148" s="231"/>
      <c r="N148" s="231"/>
      <c r="O148" s="228"/>
      <c r="P148" s="222"/>
    </row>
    <row r="149" spans="5:22">
      <c r="E149" s="920"/>
      <c r="F149" s="237">
        <f>F144*COS($F$44)-F146*SIN($F$44)+$F$42</f>
        <v>-0.13661346012857814</v>
      </c>
      <c r="L149" s="228"/>
      <c r="M149" s="231"/>
      <c r="N149" s="231"/>
      <c r="O149" s="228"/>
      <c r="P149" s="222"/>
    </row>
    <row r="150" spans="5:22">
      <c r="E150" s="917"/>
      <c r="F150" s="237">
        <f>F144*SIN($F$44)+F146*COS($F$44)+$F$43</f>
        <v>1.3969025601349929</v>
      </c>
      <c r="L150" s="248"/>
      <c r="M150" s="225"/>
      <c r="N150" s="225"/>
      <c r="P150" s="222"/>
    </row>
    <row r="151" spans="5:22">
      <c r="E151" s="916" t="s">
        <v>1460</v>
      </c>
      <c r="F151" s="237">
        <f>F111</f>
        <v>-0.1</v>
      </c>
      <c r="L151" s="248"/>
      <c r="M151" s="225"/>
      <c r="N151" s="225"/>
      <c r="O151" s="225"/>
      <c r="P151" s="229"/>
    </row>
    <row r="152" spans="5:22">
      <c r="E152" s="920"/>
      <c r="F152" s="237">
        <f>F111-MUW_</f>
        <v>-0.1</v>
      </c>
      <c r="L152" s="228"/>
      <c r="M152" s="225"/>
      <c r="N152" s="225"/>
      <c r="O152" s="228"/>
      <c r="P152" s="228"/>
    </row>
    <row r="153" spans="5:22">
      <c r="E153" s="920"/>
      <c r="F153" s="237">
        <f>F23+P_*7/8</f>
        <v>1.4</v>
      </c>
      <c r="M153" s="225"/>
      <c r="N153" s="225"/>
      <c r="O153" s="228"/>
      <c r="P153" s="228"/>
    </row>
    <row r="154" spans="5:22">
      <c r="E154" s="920"/>
      <c r="F154" s="237">
        <f>F153</f>
        <v>1.4</v>
      </c>
      <c r="L154" s="228"/>
      <c r="M154" s="231"/>
      <c r="N154" s="231"/>
      <c r="O154" s="228"/>
      <c r="P154" s="228"/>
    </row>
    <row r="155" spans="5:22">
      <c r="E155" s="920"/>
      <c r="F155" s="237">
        <f>F151*COS($F$44)-F153*SIN($F$44)+$F$42</f>
        <v>-0.13661346012857814</v>
      </c>
      <c r="L155" s="228"/>
      <c r="M155" s="231"/>
      <c r="N155" s="231"/>
      <c r="O155" s="228"/>
      <c r="P155" s="228"/>
    </row>
    <row r="156" spans="5:22">
      <c r="E156" s="920"/>
      <c r="F156" s="237">
        <f>F151*SIN($F$44)+F153*COS($F$44)+$F$43</f>
        <v>1.3969025601349929</v>
      </c>
      <c r="L156" s="248"/>
      <c r="M156" s="225"/>
      <c r="N156" s="225"/>
      <c r="P156" s="228"/>
    </row>
    <row r="157" spans="5:22">
      <c r="E157" s="920"/>
      <c r="F157" s="237">
        <f>F152*COS($F$44)-F154*SIN($F$44)+$F$42</f>
        <v>-0.13661346012857814</v>
      </c>
      <c r="L157" s="248"/>
      <c r="M157" s="225"/>
      <c r="N157" s="225"/>
      <c r="O157" s="225"/>
      <c r="P157" s="229"/>
      <c r="V157" s="228"/>
    </row>
    <row r="158" spans="5:22">
      <c r="E158" s="917"/>
      <c r="F158" s="237">
        <f>F152*SIN($F$44)+F154*COS($F$44)+$F$43</f>
        <v>1.3969025601349929</v>
      </c>
      <c r="L158" s="228"/>
      <c r="M158" s="225"/>
      <c r="N158" s="225"/>
      <c r="O158" s="228"/>
      <c r="P158" s="228"/>
      <c r="V158" s="228"/>
    </row>
    <row r="159" spans="5:22">
      <c r="E159" s="916" t="s">
        <v>1770</v>
      </c>
      <c r="F159" s="237">
        <v>0</v>
      </c>
      <c r="M159" s="225"/>
      <c r="N159" s="225"/>
      <c r="O159" s="228"/>
      <c r="P159" s="228"/>
      <c r="V159" s="228"/>
    </row>
    <row r="160" spans="5:22">
      <c r="E160" s="920"/>
      <c r="F160" s="237">
        <f>LH_+0.4</f>
        <v>0.4</v>
      </c>
      <c r="L160" s="228"/>
      <c r="M160" s="231"/>
      <c r="N160" s="231"/>
      <c r="O160" s="228"/>
      <c r="P160" s="228"/>
      <c r="V160" s="228"/>
    </row>
    <row r="161" spans="5:22">
      <c r="E161" s="920"/>
      <c r="F161" s="237">
        <f>F48-F29</f>
        <v>-0.2</v>
      </c>
      <c r="L161" s="228"/>
      <c r="M161" s="231"/>
      <c r="N161" s="231"/>
      <c r="O161" s="228"/>
      <c r="P161" s="228"/>
      <c r="V161" s="229"/>
    </row>
    <row r="162" spans="5:22">
      <c r="E162" s="917"/>
      <c r="F162" s="237">
        <f>F161</f>
        <v>-0.2</v>
      </c>
      <c r="L162" s="248"/>
      <c r="M162" s="225"/>
      <c r="N162" s="225"/>
      <c r="P162" s="228"/>
    </row>
    <row r="163" spans="5:22">
      <c r="E163" s="916" t="s">
        <v>1777</v>
      </c>
      <c r="F163" s="237">
        <f>F159</f>
        <v>0</v>
      </c>
      <c r="L163" s="248"/>
      <c r="M163" s="225"/>
      <c r="N163" s="225"/>
      <c r="O163" s="225"/>
      <c r="P163" s="229"/>
      <c r="V163" s="228"/>
    </row>
    <row r="164" spans="5:22">
      <c r="E164" s="920"/>
      <c r="F164" s="237">
        <f>F163</f>
        <v>0</v>
      </c>
      <c r="L164" s="222"/>
      <c r="O164" s="222"/>
      <c r="P164" s="222"/>
      <c r="V164" s="228"/>
    </row>
    <row r="165" spans="5:22">
      <c r="E165" s="920"/>
      <c r="F165" s="237">
        <f>F161+Y_</f>
        <v>-0.2</v>
      </c>
      <c r="M165" s="225"/>
      <c r="N165" s="225"/>
      <c r="O165" s="228"/>
      <c r="P165" s="228"/>
      <c r="V165" s="228"/>
    </row>
    <row r="166" spans="5:22">
      <c r="E166" s="917"/>
      <c r="F166" s="237">
        <f>F161+F32</f>
        <v>-4.9999999999999989E-2</v>
      </c>
      <c r="L166" s="228"/>
      <c r="M166" s="231"/>
      <c r="N166" s="231"/>
      <c r="O166" s="228"/>
      <c r="P166" s="228"/>
      <c r="V166" s="228"/>
    </row>
    <row r="167" spans="5:22">
      <c r="E167" s="916" t="s">
        <v>1778</v>
      </c>
      <c r="F167" s="237">
        <f>F163+SO_</f>
        <v>0</v>
      </c>
      <c r="L167" s="228"/>
      <c r="M167" s="231"/>
      <c r="N167" s="231"/>
      <c r="O167" s="228"/>
      <c r="P167" s="228"/>
      <c r="V167" s="229"/>
    </row>
    <row r="168" spans="5:22">
      <c r="E168" s="920"/>
      <c r="F168" s="237">
        <f>LH_-BO_</f>
        <v>0</v>
      </c>
      <c r="L168" s="248"/>
      <c r="M168" s="225"/>
      <c r="N168" s="225"/>
      <c r="P168" s="228"/>
    </row>
    <row r="169" spans="5:22">
      <c r="E169" s="920"/>
      <c r="F169" s="237">
        <f>F168+x_</f>
        <v>0</v>
      </c>
      <c r="L169" s="248"/>
      <c r="M169" s="225"/>
      <c r="N169" s="225"/>
      <c r="O169" s="225"/>
      <c r="P169" s="229"/>
    </row>
    <row r="170" spans="5:22">
      <c r="E170" s="920"/>
      <c r="F170" s="237">
        <f>LH_</f>
        <v>0</v>
      </c>
    </row>
    <row r="171" spans="5:22">
      <c r="E171" s="920"/>
      <c r="F171" s="237">
        <f>F165-Y_</f>
        <v>-0.2</v>
      </c>
    </row>
    <row r="172" spans="5:22">
      <c r="E172" s="920"/>
      <c r="F172" s="237">
        <f>F171</f>
        <v>-0.2</v>
      </c>
    </row>
    <row r="173" spans="5:22">
      <c r="E173" s="920"/>
      <c r="F173" s="237">
        <f>F172+h_</f>
        <v>-0.2</v>
      </c>
    </row>
    <row r="174" spans="5:22">
      <c r="E174" s="917"/>
      <c r="F174" s="237">
        <f>F48</f>
        <v>0</v>
      </c>
    </row>
    <row r="175" spans="5:22">
      <c r="E175" s="916" t="s">
        <v>1772</v>
      </c>
      <c r="F175" s="237" t="b">
        <f>IF(PoleType_=1,$F$107+STL_,IF(PoleType_=3,$F$107+STL_,IF(PoleType_=4,$F$107+STL_)))</f>
        <v>0</v>
      </c>
    </row>
    <row r="176" spans="5:22">
      <c r="E176" s="920"/>
      <c r="F176" s="237" t="b">
        <f>IF(PoleType_=1,F107+J_,IF(PoleType_=3,F107+J_,IF(PoleType_=4,F107+J_)))</f>
        <v>0</v>
      </c>
    </row>
    <row r="177" spans="5:6">
      <c r="E177" s="920"/>
      <c r="F177" s="237" t="b">
        <f>IF(PoleType_=1,0,IF(PoleType_=3,0,IF(PoleType_=4,0)))</f>
        <v>0</v>
      </c>
    </row>
    <row r="178" spans="5:6">
      <c r="E178" s="920"/>
      <c r="F178" s="237" t="b">
        <f>IF(PoleType_=1,0,IF(PoleType_=3,0,IF(PoleType_=4,0)))</f>
        <v>0</v>
      </c>
    </row>
    <row r="179" spans="5:6">
      <c r="E179" s="920"/>
      <c r="F179" s="237">
        <f>0.08*F29</f>
        <v>1.6E-2</v>
      </c>
    </row>
    <row r="180" spans="5:6">
      <c r="E180" s="920"/>
      <c r="F180" s="237" t="b">
        <f>IF(PoleType_=1,F175,IF(PoleType_=3,F175,IF(PoleType_=4,F175)))</f>
        <v>0</v>
      </c>
    </row>
    <row r="181" spans="5:6">
      <c r="E181" s="920"/>
      <c r="F181" s="237" t="b">
        <f>IF(PoleType_=1,F176-0.025*LH_,IF(PoleType_=3,F176-0.025*LH_,IF(PoleType_=4,F176-0.025*LH_)))</f>
        <v>0</v>
      </c>
    </row>
    <row r="182" spans="5:6">
      <c r="E182" s="920"/>
      <c r="F182" s="237" t="b">
        <f>IF(PoleType_=1,F177-F179,IF(PoleType_=3,F177-F179,IF(PoleType_=4,F177-F179)))</f>
        <v>0</v>
      </c>
    </row>
    <row r="183" spans="5:6">
      <c r="E183" s="917"/>
      <c r="F183" s="237" t="b">
        <f>IF(PoleType_=1,F178-F179,IF(PoleType_=3,F178-F179,IF(PoleType_=4,F178-F179)))</f>
        <v>0</v>
      </c>
    </row>
    <row r="184" spans="5:6">
      <c r="E184" s="916" t="s">
        <v>1779</v>
      </c>
      <c r="F184" s="237" t="b">
        <f>IF(PoleType_=2,$F$107+STL_,IF(PoleType_=3,$F$107+STL_,IF(PoleType_=5,$F$107+STL_)))</f>
        <v>0</v>
      </c>
    </row>
    <row r="185" spans="5:6">
      <c r="E185" s="920"/>
      <c r="F185" s="237" t="b">
        <f>IF(PoleType_=2,$F$107,IF(PoleType_=3,$F$107,IF(PoleType_=5,$F$107)))</f>
        <v>0</v>
      </c>
    </row>
    <row r="186" spans="5:6">
      <c r="E186" s="920"/>
      <c r="F186" s="237" t="b">
        <f>IF(PoleType_=2,1.1+(LH_-6)*0.1,IF(PoleType_=3,1.1+(LH_-6)*0.1,IF(PoleType_=5,1.1+(LH_-6)*0.1)))</f>
        <v>0</v>
      </c>
    </row>
    <row r="187" spans="5:6">
      <c r="E187" s="920"/>
      <c r="F187" s="237" t="b">
        <f>IF(PoleType_=2,1.1+(LH_-6)*0.1,IF(PoleType_=3,1.1+(LH_-6)*0.1,IF(PoleType_=5,1.1+(LH_-6)*0.1)))</f>
        <v>0</v>
      </c>
    </row>
    <row r="188" spans="5:6">
      <c r="E188" s="920"/>
      <c r="F188" s="237">
        <f>0.08*F29</f>
        <v>1.6E-2</v>
      </c>
    </row>
    <row r="189" spans="5:6">
      <c r="E189" s="920"/>
      <c r="F189" s="237" t="b">
        <f>IF(PoleType_=2,F184,IF(PoleType_=3,F184,IF(PoleType_=5,F184)))</f>
        <v>0</v>
      </c>
    </row>
    <row r="190" spans="5:6">
      <c r="E190" s="920"/>
      <c r="F190" s="237" t="b">
        <f>IF(PoleType_=2,F185,IF(PoleType_=3,F185,IF(PoleType_=5,F185)))</f>
        <v>0</v>
      </c>
    </row>
    <row r="191" spans="5:6">
      <c r="E191" s="920"/>
      <c r="F191" s="237" t="b">
        <f>IF(PoleType_=2,F186-F188,IF(PoleType_=3,F186-F188,IF(PoleType_=5,F186-F188)))</f>
        <v>0</v>
      </c>
    </row>
    <row r="192" spans="5:6">
      <c r="E192" s="917"/>
      <c r="F192" s="237" t="b">
        <f>IF(PoleType_=2,F187-F188,IF(PoleType_=3,F187-F188,IF(PoleType_=5,F187-F188)))</f>
        <v>0</v>
      </c>
    </row>
    <row r="193" spans="5:6">
      <c r="E193" s="916" t="s">
        <v>1780</v>
      </c>
      <c r="F193" s="237">
        <f>(F106-0.25)/20</f>
        <v>5.7499999999999996E-2</v>
      </c>
    </row>
    <row r="194" spans="5:6">
      <c r="E194" s="921"/>
      <c r="F194" s="237" t="b">
        <f>IF(PoleType_=1,1,IF(PoleType_=3,1,IF(PoleType_=4,1)))</f>
        <v>0</v>
      </c>
    </row>
    <row r="195" spans="5:6">
      <c r="E195" s="921"/>
      <c r="F195" s="237" t="b">
        <f>IF(PoleType_=2,2)</f>
        <v>0</v>
      </c>
    </row>
    <row r="196" spans="5:6">
      <c r="E196" s="921"/>
      <c r="F196" s="275" t="str">
        <f>IF(F194=1,1,IF(F195=2,2,"FAUX"))</f>
        <v>FAUX</v>
      </c>
    </row>
    <row r="197" spans="5:6">
      <c r="E197" s="921"/>
      <c r="F197" s="237">
        <f>IF($F$196=1,F175,0)</f>
        <v>0</v>
      </c>
    </row>
    <row r="198" spans="5:6">
      <c r="E198" s="921"/>
      <c r="F198" s="237">
        <f>IF($F$196=1,F177,0)</f>
        <v>0</v>
      </c>
    </row>
    <row r="199" spans="5:6">
      <c r="E199" s="921"/>
      <c r="F199" s="237">
        <f>IF($F$196=1,$F$109+($F$197-$F$109)*9/10,0)</f>
        <v>0</v>
      </c>
    </row>
    <row r="200" spans="5:6">
      <c r="E200" s="921"/>
      <c r="F200" s="237">
        <f>IF($F$196=1,4.1*$F$193,0)</f>
        <v>0</v>
      </c>
    </row>
    <row r="201" spans="5:6">
      <c r="E201" s="921"/>
      <c r="F201" s="237">
        <f>IF($F$196=1,$F$109+($F$197-$F$109)*3/5,0)</f>
        <v>0</v>
      </c>
    </row>
    <row r="202" spans="5:6">
      <c r="E202" s="921"/>
      <c r="F202" s="237">
        <f>IF($F$196=1,14.1*$F$193,0)</f>
        <v>0</v>
      </c>
    </row>
    <row r="203" spans="5:6">
      <c r="E203" s="921"/>
      <c r="F203" s="237">
        <f>IF($F$196=1,$F$109+($F$197-$F$109)*2/5,0)</f>
        <v>0</v>
      </c>
    </row>
    <row r="204" spans="5:6">
      <c r="E204" s="921"/>
      <c r="F204" s="237">
        <f>IF($F$196=1,17.5*$F$193,0)</f>
        <v>0</v>
      </c>
    </row>
    <row r="205" spans="5:6">
      <c r="E205" s="921"/>
      <c r="F205" s="237">
        <f>IF($F$196=1,$F$109+($F$197-$F$109)*1/5,0)</f>
        <v>0</v>
      </c>
    </row>
    <row r="206" spans="5:6">
      <c r="E206" s="921"/>
      <c r="F206" s="237">
        <f>IF($F$196=1,19.5*$F$193,0)</f>
        <v>0</v>
      </c>
    </row>
    <row r="207" spans="5:6">
      <c r="E207" s="921"/>
      <c r="F207" s="237">
        <f>IF($F$196=1,$F$109,0)</f>
        <v>0</v>
      </c>
    </row>
    <row r="208" spans="5:6">
      <c r="E208" s="921"/>
      <c r="F208" s="237">
        <f>IF($F$196=1,$F$110-0.25,0)</f>
        <v>0</v>
      </c>
    </row>
    <row r="209" spans="1:6">
      <c r="E209" s="921"/>
      <c r="F209" s="275"/>
    </row>
    <row r="210" spans="1:6">
      <c r="E210" s="921"/>
      <c r="F210" s="275"/>
    </row>
    <row r="211" spans="1:6">
      <c r="A211" s="232"/>
      <c r="B211" s="232"/>
      <c r="E211" s="921"/>
      <c r="F211" s="237" t="b">
        <f>IF($F$196=2,F184)</f>
        <v>0</v>
      </c>
    </row>
    <row r="212" spans="1:6">
      <c r="A212" s="232"/>
      <c r="B212" s="232"/>
      <c r="E212" s="921"/>
      <c r="F212" s="237" t="b">
        <f>IF($F$196=2,F186)</f>
        <v>0</v>
      </c>
    </row>
    <row r="213" spans="1:6">
      <c r="A213" s="232"/>
      <c r="B213" s="232"/>
      <c r="E213" s="921"/>
      <c r="F213" s="237" t="b">
        <f>IF($F$196=2,$F$109+($F$211-$F$109)*9/10)</f>
        <v>0</v>
      </c>
    </row>
    <row r="214" spans="1:6">
      <c r="A214" s="232"/>
      <c r="B214" s="232"/>
      <c r="E214" s="921"/>
      <c r="F214" s="237" t="b">
        <f>IF($F$196=2,4.5*$F$193)</f>
        <v>0</v>
      </c>
    </row>
    <row r="215" spans="1:6">
      <c r="A215" s="232"/>
      <c r="B215" s="232"/>
      <c r="E215" s="921"/>
      <c r="F215" s="237" t="b">
        <f>IF($F$196=2,$F$109+($F$211-$F$109)*3/5)</f>
        <v>0</v>
      </c>
    </row>
    <row r="216" spans="1:6">
      <c r="A216" s="232"/>
      <c r="B216" s="232"/>
      <c r="E216" s="921"/>
      <c r="F216" s="237" t="b">
        <f>IF($F$196=2,14.1*$F$193)</f>
        <v>0</v>
      </c>
    </row>
    <row r="217" spans="1:6">
      <c r="E217" s="921"/>
      <c r="F217" s="237" t="b">
        <f>IF($F$196=2,$F$109+($F$211-$F$109)*2/5)</f>
        <v>0</v>
      </c>
    </row>
    <row r="218" spans="1:6">
      <c r="E218" s="921"/>
      <c r="F218" s="237" t="b">
        <f>IF($F$196=2,17.5*$F$193)</f>
        <v>0</v>
      </c>
    </row>
    <row r="219" spans="1:6">
      <c r="E219" s="921"/>
      <c r="F219" s="237" t="b">
        <f>IF($F$196=2,$F$109+($F$211-$F$109)*1/5)</f>
        <v>0</v>
      </c>
    </row>
    <row r="220" spans="1:6">
      <c r="E220" s="921"/>
      <c r="F220" s="237" t="b">
        <f>IF($F$196=2,19.5*$F$193)</f>
        <v>0</v>
      </c>
    </row>
    <row r="221" spans="1:6">
      <c r="E221" s="921"/>
      <c r="F221" s="237" t="b">
        <f>IF($F$196=2,$F$109)</f>
        <v>0</v>
      </c>
    </row>
    <row r="222" spans="1:6">
      <c r="E222" s="921"/>
      <c r="F222" s="237" t="b">
        <f>IF($F$196=2,$F$110-0.25)</f>
        <v>0</v>
      </c>
    </row>
    <row r="223" spans="1:6">
      <c r="E223" s="921"/>
      <c r="F223" s="237" t="b">
        <f t="shared" ref="F223:F234" si="0">IF(F197=0,F211,F197)</f>
        <v>0</v>
      </c>
    </row>
    <row r="224" spans="1:6">
      <c r="E224" s="921"/>
      <c r="F224" s="237" t="b">
        <f t="shared" si="0"/>
        <v>0</v>
      </c>
    </row>
    <row r="225" spans="5:6">
      <c r="E225" s="921"/>
      <c r="F225" s="237" t="b">
        <f t="shared" si="0"/>
        <v>0</v>
      </c>
    </row>
    <row r="226" spans="5:6">
      <c r="E226" s="921"/>
      <c r="F226" s="237" t="b">
        <f t="shared" si="0"/>
        <v>0</v>
      </c>
    </row>
    <row r="227" spans="5:6">
      <c r="E227" s="921"/>
      <c r="F227" s="237" t="b">
        <f t="shared" si="0"/>
        <v>0</v>
      </c>
    </row>
    <row r="228" spans="5:6">
      <c r="E228" s="921"/>
      <c r="F228" s="237" t="b">
        <f t="shared" si="0"/>
        <v>0</v>
      </c>
    </row>
    <row r="229" spans="5:6">
      <c r="E229" s="921"/>
      <c r="F229" s="237" t="b">
        <f t="shared" si="0"/>
        <v>0</v>
      </c>
    </row>
    <row r="230" spans="5:6">
      <c r="E230" s="921"/>
      <c r="F230" s="237" t="b">
        <f t="shared" si="0"/>
        <v>0</v>
      </c>
    </row>
    <row r="231" spans="5:6">
      <c r="E231" s="921"/>
      <c r="F231" s="237" t="b">
        <f t="shared" si="0"/>
        <v>0</v>
      </c>
    </row>
    <row r="232" spans="5:6">
      <c r="E232" s="921"/>
      <c r="F232" s="237" t="b">
        <f t="shared" si="0"/>
        <v>0</v>
      </c>
    </row>
    <row r="233" spans="5:6">
      <c r="E233" s="921"/>
      <c r="F233" s="237" t="b">
        <f t="shared" si="0"/>
        <v>0</v>
      </c>
    </row>
    <row r="234" spans="5:6">
      <c r="E234" s="921"/>
      <c r="F234" s="237" t="b">
        <f t="shared" si="0"/>
        <v>0</v>
      </c>
    </row>
    <row r="235" spans="5:6">
      <c r="E235" s="922"/>
      <c r="F235" s="275"/>
    </row>
    <row r="236" spans="5:6">
      <c r="E236" s="916" t="s">
        <v>1781</v>
      </c>
      <c r="F236" s="237">
        <f>F111</f>
        <v>-0.1</v>
      </c>
    </row>
    <row r="237" spans="5:6">
      <c r="E237" s="920"/>
      <c r="F237" s="237" t="e">
        <f>F236-F20</f>
        <v>#DIV/0!</v>
      </c>
    </row>
    <row r="238" spans="5:6">
      <c r="E238" s="920"/>
      <c r="F238" s="237">
        <f>F120+P_</f>
        <v>1.4</v>
      </c>
    </row>
    <row r="239" spans="5:6">
      <c r="E239" s="920"/>
      <c r="F239" s="237">
        <f>F120+P_</f>
        <v>1.4</v>
      </c>
    </row>
    <row r="240" spans="5:6">
      <c r="E240" s="920"/>
      <c r="F240" s="237">
        <f>F236*COS($F$44)-F238*SIN($F$44)+$F$42</f>
        <v>-0.13661346012857814</v>
      </c>
    </row>
    <row r="241" spans="5:6">
      <c r="E241" s="920"/>
      <c r="F241" s="237">
        <f>F236*SIN($F$44)+F238*COS($F$44)+$F$43</f>
        <v>1.3969025601349929</v>
      </c>
    </row>
    <row r="242" spans="5:6">
      <c r="E242" s="920"/>
      <c r="F242" s="237" t="e">
        <f>F237*COS($F$44)-F239*SIN($F$44)+$F$42</f>
        <v>#DIV/0!</v>
      </c>
    </row>
    <row r="243" spans="5:6">
      <c r="E243" s="917"/>
      <c r="F243" s="237" t="e">
        <f>F237*SIN($F$44)+F239*COS($F$44)+$F$43</f>
        <v>#DIV/0!</v>
      </c>
    </row>
  </sheetData>
  <sheetProtection password="DBCF" sheet="1" objects="1" scenarios="1"/>
  <mergeCells count="33">
    <mergeCell ref="E193:E235"/>
    <mergeCell ref="E151:E158"/>
    <mergeCell ref="E143:E150"/>
    <mergeCell ref="E175:E183"/>
    <mergeCell ref="E236:E243"/>
    <mergeCell ref="E184:E192"/>
    <mergeCell ref="E159:E162"/>
    <mergeCell ref="E163:E166"/>
    <mergeCell ref="E167:E174"/>
    <mergeCell ref="E119:E126"/>
    <mergeCell ref="E135:E142"/>
    <mergeCell ref="E127:E134"/>
    <mergeCell ref="E91:E98"/>
    <mergeCell ref="E67:E74"/>
    <mergeCell ref="E22:E24"/>
    <mergeCell ref="E25:E27"/>
    <mergeCell ref="E111:E118"/>
    <mergeCell ref="E99:E110"/>
    <mergeCell ref="E39:E41"/>
    <mergeCell ref="E56:E58"/>
    <mergeCell ref="E28:E31"/>
    <mergeCell ref="E42:E43"/>
    <mergeCell ref="E46:E55"/>
    <mergeCell ref="E33:E38"/>
    <mergeCell ref="E59:E66"/>
    <mergeCell ref="E75:E82"/>
    <mergeCell ref="E83:E90"/>
    <mergeCell ref="K49:L49"/>
    <mergeCell ref="AJ29:AK29"/>
    <mergeCell ref="F39:F41"/>
    <mergeCell ref="F23:F24"/>
    <mergeCell ref="F29:F31"/>
    <mergeCell ref="F25:F27"/>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54" activePane="bottomRight" state="frozen"/>
      <selection pane="topRight" activeCell="B1" sqref="B1"/>
      <selection pane="bottomLeft" activeCell="A3" sqref="A3"/>
      <selection pane="bottomRight" activeCell="A84" sqref="A84:XFD84"/>
    </sheetView>
  </sheetViews>
  <sheetFormatPr defaultColWidth="9.15234375" defaultRowHeight="12.45"/>
  <cols>
    <col min="1" max="1" width="24.15234375" style="53" bestFit="1" customWidth="1"/>
    <col min="2" max="2" width="40" style="217" bestFit="1" customWidth="1"/>
    <col min="3" max="3" width="28.15234375" style="318" bestFit="1" customWidth="1"/>
    <col min="4" max="4" width="15.4609375" style="53" bestFit="1" customWidth="1"/>
    <col min="5" max="5" width="32.84375" style="53" hidden="1" customWidth="1"/>
    <col min="6" max="7" width="7" style="53" hidden="1" customWidth="1"/>
    <col min="8" max="8" width="9.15234375" style="53" hidden="1" customWidth="1"/>
    <col min="9" max="10" width="0" style="53" hidden="1" customWidth="1"/>
    <col min="11" max="16384" width="9.15234375" style="53"/>
  </cols>
  <sheetData>
    <row r="1" spans="1:5" s="24" customFormat="1">
      <c r="A1" s="53" t="s">
        <v>925</v>
      </c>
      <c r="B1" s="310">
        <f>Application!C16</f>
        <v>0</v>
      </c>
      <c r="C1" s="24" t="s">
        <v>926</v>
      </c>
      <c r="D1" s="311">
        <f>Application!C17</f>
        <v>0</v>
      </c>
    </row>
    <row r="2" spans="1:5" s="24" customFormat="1">
      <c r="A2" s="53"/>
      <c r="B2" s="24" t="s">
        <v>927</v>
      </c>
      <c r="C2" s="24" t="s">
        <v>2691</v>
      </c>
      <c r="D2" s="24" t="s">
        <v>14</v>
      </c>
      <c r="E2" s="53" t="s">
        <v>928</v>
      </c>
    </row>
    <row r="3" spans="1:5">
      <c r="A3" s="312" t="s">
        <v>537</v>
      </c>
      <c r="B3" s="313"/>
      <c r="C3" s="314"/>
      <c r="D3" s="315"/>
    </row>
    <row r="4" spans="1:5">
      <c r="A4" s="316" t="s">
        <v>382</v>
      </c>
      <c r="B4" s="313" t="str">
        <f>IF(Application!F47="","Source of hull data","")</f>
        <v>Source of hull data</v>
      </c>
      <c r="C4" s="314"/>
      <c r="D4" s="315"/>
    </row>
    <row r="5" spans="1:5">
      <c r="A5" s="316" t="s">
        <v>3791</v>
      </c>
      <c r="B5" s="313" t="str">
        <f>IF(Application!F54="","Source of Boat Weight","")</f>
        <v>Source of Boat Weight</v>
      </c>
      <c r="C5" s="314"/>
      <c r="D5" s="315"/>
    </row>
    <row r="6" spans="1:5">
      <c r="A6" s="316" t="s">
        <v>383</v>
      </c>
      <c r="B6" s="313" t="str">
        <f>IF(Application!G97="","Source of rig data","")</f>
        <v>Source of rig data</v>
      </c>
      <c r="C6" s="314"/>
      <c r="D6" s="315"/>
    </row>
    <row r="7" spans="1:5">
      <c r="A7" s="316" t="s">
        <v>1452</v>
      </c>
      <c r="B7" s="313" t="str">
        <f>IF(Application!G118="","Source of sail data","")</f>
        <v>Source of sail data</v>
      </c>
      <c r="C7" s="314"/>
      <c r="D7" s="315"/>
    </row>
    <row r="8" spans="1:5">
      <c r="B8" s="317"/>
      <c r="D8" s="24"/>
    </row>
    <row r="9" spans="1:5">
      <c r="A9" s="319" t="s">
        <v>663</v>
      </c>
      <c r="B9" s="320" t="str">
        <f>IF(Application!C36="","Design","")</f>
        <v>Design</v>
      </c>
      <c r="C9" s="321"/>
      <c r="D9" s="322"/>
    </row>
    <row r="10" spans="1:5">
      <c r="A10" s="319" t="s">
        <v>400</v>
      </c>
      <c r="B10" s="320" t="str">
        <f>IF(Application!C41="","Series Date","")</f>
        <v>Series Date</v>
      </c>
      <c r="C10" s="321"/>
      <c r="D10" s="322"/>
    </row>
    <row r="11" spans="1:5">
      <c r="A11" s="319" t="s">
        <v>929</v>
      </c>
      <c r="B11" s="320" t="str">
        <f>IF(Application!C18="","Age Date","")</f>
        <v>Age Date</v>
      </c>
      <c r="C11" s="321" t="str">
        <f>IF(Application!C18&lt;Application!C41,"Age Date cannot be before Series Date","")</f>
        <v/>
      </c>
      <c r="D11" s="322"/>
    </row>
    <row r="12" spans="1:5">
      <c r="A12" s="319" t="s">
        <v>3201</v>
      </c>
      <c r="B12" s="320" t="str">
        <f>IF(Application!C343=1,"Hull Form","")</f>
        <v>Hull Form</v>
      </c>
      <c r="C12" s="339" t="str">
        <f>IF(Application!C343=4,"Check! only applies to full length hard chine","")</f>
        <v/>
      </c>
      <c r="D12" s="322"/>
    </row>
    <row r="13" spans="1:5">
      <c r="A13" s="319" t="s">
        <v>3146</v>
      </c>
      <c r="B13" s="320" t="str">
        <f>IF(Application!C344=1,"Keel Type","")</f>
        <v>Keel Type</v>
      </c>
      <c r="C13" s="321"/>
      <c r="D13" s="322"/>
    </row>
    <row r="14" spans="1:5">
      <c r="A14" s="319" t="s">
        <v>3206</v>
      </c>
      <c r="B14" s="320" t="str">
        <f>IF(Application!C345=1,"Single Fin Keel Shape","")</f>
        <v>Single Fin Keel Shape</v>
      </c>
      <c r="C14" s="321"/>
      <c r="D14" s="322"/>
    </row>
    <row r="15" spans="1:5">
      <c r="A15" s="319" t="s">
        <v>3770</v>
      </c>
      <c r="B15" s="320" t="str">
        <f>IF(Application!C346=1,"Rudder","")</f>
        <v>Rudder</v>
      </c>
      <c r="C15" s="321"/>
      <c r="D15" s="322"/>
    </row>
    <row r="16" spans="1:5">
      <c r="A16" s="319" t="s">
        <v>3207</v>
      </c>
      <c r="B16" s="320" t="str">
        <f>IF(Application!C347=1,"Hull Material","")</f>
        <v>Hull Material</v>
      </c>
      <c r="C16" s="321"/>
      <c r="D16" s="322"/>
    </row>
    <row r="17" spans="1:7">
      <c r="A17" s="319" t="s">
        <v>3772</v>
      </c>
      <c r="B17" s="320" t="str">
        <f>IF(Application!C348=1,"Accommodation","")</f>
        <v>Accommodation</v>
      </c>
      <c r="C17" s="321"/>
      <c r="D17" s="322"/>
    </row>
    <row r="18" spans="1:7">
      <c r="A18" s="319" t="s">
        <v>534</v>
      </c>
      <c r="B18" s="320" t="str">
        <f>IF(Application!C382=1,"Accommodation materials","")</f>
        <v>Accommodation materials</v>
      </c>
      <c r="C18" s="321"/>
      <c r="D18" s="322"/>
    </row>
    <row r="19" spans="1:7">
      <c r="B19" s="317"/>
      <c r="D19" s="24"/>
    </row>
    <row r="20" spans="1:7">
      <c r="A20" s="334" t="s">
        <v>536</v>
      </c>
      <c r="B20" s="335"/>
      <c r="C20" s="336"/>
      <c r="D20" s="337"/>
    </row>
    <row r="21" spans="1:7">
      <c r="A21" s="338" t="s">
        <v>3214</v>
      </c>
      <c r="B21" s="335" t="str">
        <f>IF(Application!D47="","LH","")</f>
        <v>LH</v>
      </c>
      <c r="C21" s="336"/>
      <c r="D21" s="337"/>
      <c r="E21" s="53" t="s">
        <v>935</v>
      </c>
    </row>
    <row r="22" spans="1:7">
      <c r="A22" s="338" t="s">
        <v>930</v>
      </c>
      <c r="B22" s="335" t="str">
        <f>IF(Application!D48="","BO","")</f>
        <v>BO</v>
      </c>
      <c r="C22" s="336" t="e">
        <f>IF(Application!D48/Application!D47&gt;0.15,"Very long BO","")</f>
        <v>#DIV/0!</v>
      </c>
      <c r="D22" s="337" t="e">
        <f>IF(Application!D48/Application!D47&gt;0.12,"BO Long","")</f>
        <v>#DIV/0!</v>
      </c>
    </row>
    <row r="23" spans="1:7">
      <c r="A23" s="338" t="s">
        <v>3785</v>
      </c>
      <c r="B23" s="335" t="str">
        <f>IF(Application!D49="","x","")</f>
        <v>x</v>
      </c>
      <c r="C23" s="336" t="str">
        <f>IF(Application!D50&gt;Application!D49,"h&gt;x. Wrong","")</f>
        <v/>
      </c>
      <c r="D23" s="337"/>
    </row>
    <row r="24" spans="1:7">
      <c r="A24" s="338" t="s">
        <v>3788</v>
      </c>
      <c r="B24" s="335" t="str">
        <f>IF(Application!D50="","h","")</f>
        <v>h</v>
      </c>
      <c r="C24" s="336" t="str">
        <f>IF(Application!D50&gt;Application!D49,"h&gt;x. Wrong","")</f>
        <v/>
      </c>
      <c r="D24" s="337"/>
      <c r="E24" s="53" t="s">
        <v>936</v>
      </c>
      <c r="F24" s="53" t="e">
        <f>OR(Application!D58/Application!D47&lt;0.18,Application!D58/Application!D47&gt;0.45)</f>
        <v>#DIV/0!</v>
      </c>
      <c r="G24" s="53" t="e">
        <f>OR(Application!D58/Application!D47&lt;0.25,Application!D58/Application!D47&gt;0.35)</f>
        <v>#DIV/0!</v>
      </c>
    </row>
    <row r="25" spans="1:7">
      <c r="A25" s="338" t="s">
        <v>931</v>
      </c>
      <c r="B25" s="335" t="str">
        <f>IF(Application!D51="","SO","")</f>
        <v>SO</v>
      </c>
      <c r="C25" s="336" t="e">
        <f>IF(Application!D51/Application!D47&gt;0.18,"Very long SO","")</f>
        <v>#DIV/0!</v>
      </c>
      <c r="D25" s="337" t="e">
        <f>IF(Application!D51/Application!D47&gt;0.13,"SO Long","")</f>
        <v>#DIV/0!</v>
      </c>
    </row>
    <row r="26" spans="1:7">
      <c r="A26" s="338" t="s">
        <v>3786</v>
      </c>
      <c r="B26" s="335" t="str">
        <f>IF(Application!D52="","y","")</f>
        <v>y</v>
      </c>
      <c r="C26" s="336" t="e">
        <f>IF(Application!D52/Application!D51&lt;0.1,"Very shallow run. ?y or SO?","")</f>
        <v>#DIV/0!</v>
      </c>
      <c r="D26" s="337" t="str">
        <f>IF(Application!D52&lt;0.03,"Low transom",IF(Application!D52/Application!D51&lt;0.13,"Shallow run. ?Y or SO?",""))</f>
        <v>Low transom</v>
      </c>
      <c r="E26" s="53" t="s">
        <v>938</v>
      </c>
      <c r="F26" s="53" t="b">
        <f>OR(Application!D59&gt;Application!D53*0.3,Application!D59&lt;Application!D53*0.1)</f>
        <v>0</v>
      </c>
      <c r="G26" s="53" t="b">
        <f>OR(Application!D59&gt;Application!D53*0.25,Application!D59&lt;Application!D53*0.15)</f>
        <v>0</v>
      </c>
    </row>
    <row r="27" spans="1:7">
      <c r="A27" s="338" t="s">
        <v>533</v>
      </c>
      <c r="B27" s="335" t="str">
        <f>IF(Application!D54="","Weight","")</f>
        <v>Weight</v>
      </c>
      <c r="C27" s="336" t="e">
        <f>IF((27.87*Application!D54)/(Application!D53^3)&gt;400,"Very heavy","")</f>
        <v>#DIV/0!</v>
      </c>
      <c r="D27" s="337" t="e">
        <f>IF((27.87*Application!D54)/(Application!D53^3)&gt;300,"Heavy","")</f>
        <v>#DIV/0!</v>
      </c>
    </row>
    <row r="28" spans="1:7">
      <c r="A28" s="338" t="s">
        <v>2853</v>
      </c>
      <c r="B28" s="335" t="str">
        <f>IF(Application!C362=1,"Internal ballast Yes/No","")</f>
        <v>Internal ballast Yes/No</v>
      </c>
      <c r="C28" s="336"/>
      <c r="D28" s="337" t="str">
        <f>IF(Application!C362=2,IF(Application!F57&lt;10,"Ballast quantity",""),"")</f>
        <v/>
      </c>
      <c r="E28" s="53" t="s">
        <v>183</v>
      </c>
      <c r="F28" s="53" t="b">
        <f>AND(Application!C345&gt;8,OR(Application!C350=1,Application!C350=5,))</f>
        <v>0</v>
      </c>
    </row>
    <row r="29" spans="1:7">
      <c r="A29" s="338" t="s">
        <v>2852</v>
      </c>
      <c r="B29" s="335" t="str">
        <f>IF(AND(Application!C362=2,Application!F57&lt;10),"Internal ballast quantity","")</f>
        <v/>
      </c>
      <c r="C29" s="336"/>
      <c r="D29" s="337"/>
    </row>
    <row r="30" spans="1:7">
      <c r="A30" s="338" t="s">
        <v>3797</v>
      </c>
      <c r="B30" s="335" t="str">
        <f>IF(Application!D58="","Beam","")</f>
        <v>Beam</v>
      </c>
      <c r="C30" s="336" t="e">
        <f>IF(F24=TRUE,"Very narrow or wide","")</f>
        <v>#DIV/0!</v>
      </c>
      <c r="D30" s="337" t="e">
        <f>IF(G24=TRUE,"Narrow or wide","")</f>
        <v>#DIV/0!</v>
      </c>
    </row>
    <row r="32" spans="1:7">
      <c r="A32" s="338" t="s">
        <v>937</v>
      </c>
      <c r="B32" s="335" t="str">
        <f>IF(Application!D59="","Draft","")</f>
        <v>Draft</v>
      </c>
      <c r="C32" s="336" t="str">
        <f>IF(F26=TRUE,"Very deep or shallow","")</f>
        <v/>
      </c>
      <c r="D32" s="337" t="str">
        <f>IF(G26=TRUE,"Deep or shallow","")</f>
        <v/>
      </c>
      <c r="E32" s="53" t="s">
        <v>941</v>
      </c>
      <c r="F32" s="53" t="e">
        <f>OR(Application!D98/Application!D97&lt;0.27,Application!D98/Application!D97&gt;0.43)</f>
        <v>#DIV/0!</v>
      </c>
      <c r="G32" s="53" t="e">
        <f>OR(Application!D98/Application!D97&lt;0.3,Application!D98/Application!D97&gt;0.39)</f>
        <v>#DIV/0!</v>
      </c>
    </row>
    <row r="33" spans="1:7">
      <c r="A33" s="338" t="s">
        <v>939</v>
      </c>
      <c r="B33" s="335" t="str">
        <f>IF(AND(OR(Application!C344=5,Application!C344=6,Application!C344=7),Application!D60&lt;0.01),"Minimum Draft","")</f>
        <v/>
      </c>
      <c r="C33" s="336"/>
      <c r="D33" s="337"/>
      <c r="E33" s="53" t="s">
        <v>942</v>
      </c>
      <c r="F33" s="53" t="e">
        <f>OR(Application!D99/Application!D47&lt;0.3,Application!D99/Application!D47&gt;0.43)</f>
        <v>#DIV/0!</v>
      </c>
      <c r="G33" s="53" t="e">
        <f>OR(Application!D99/Application!D47&lt;0.32,Application!D99/Application!D47&gt;0.42)</f>
        <v>#DIV/0!</v>
      </c>
    </row>
    <row r="34" spans="1:7">
      <c r="A34" s="338" t="s">
        <v>3683</v>
      </c>
      <c r="B34" s="335" t="str">
        <f>IF(AND(Application!D62="",F34=TRUE),"Wing span","")</f>
        <v/>
      </c>
      <c r="C34" s="336"/>
      <c r="D34" s="337"/>
      <c r="E34" s="53" t="s">
        <v>652</v>
      </c>
      <c r="F34" s="53" t="b">
        <f>Application!C345=14</f>
        <v>0</v>
      </c>
    </row>
    <row r="35" spans="1:7">
      <c r="A35" s="338" t="s">
        <v>1542</v>
      </c>
      <c r="B35" s="335" t="str">
        <f>IF(Application!C349=1,"Keel Fin Material","")</f>
        <v>Keel Fin Material</v>
      </c>
      <c r="C35" s="336"/>
      <c r="D35" s="337"/>
      <c r="F35" s="53" t="b">
        <f>OR(Application!D100&lt;Application!D97*0.7,Application!D100&gt;Application!D97*1.2)</f>
        <v>0</v>
      </c>
      <c r="G35" s="53" t="b">
        <f>OR(Application!D100&lt;Application!D97*0.8,Application!D100&gt;Application!D97*1.15)</f>
        <v>0</v>
      </c>
    </row>
    <row r="36" spans="1:7">
      <c r="A36" s="338" t="s">
        <v>2257</v>
      </c>
      <c r="B36" s="335" t="str">
        <f>IF(F28=TRUE,"Bulb Material","")</f>
        <v/>
      </c>
      <c r="C36" s="336"/>
      <c r="D36" s="338"/>
      <c r="E36" s="53" t="s">
        <v>943</v>
      </c>
      <c r="F36" s="53" t="b">
        <f>OR(Application!C353=3,Application!C353=4,Application!C353=7)</f>
        <v>0</v>
      </c>
      <c r="G36" s="53" t="b">
        <f>OR(Application!C353=2,Application!C353=3)</f>
        <v>0</v>
      </c>
    </row>
    <row r="37" spans="1:7">
      <c r="A37" s="338" t="s">
        <v>28</v>
      </c>
      <c r="B37" s="335" t="str">
        <f>IF(AND(Application!C345&gt;9,Application!D56=""),"Bulb weight","")</f>
        <v/>
      </c>
      <c r="C37" s="336" t="str">
        <f>IF(Application!D56&gt;Application!D54*0.75,"Very heavy bulb","")</f>
        <v/>
      </c>
      <c r="D37" s="337" t="str">
        <f>IF(Application!D56&gt;Application!D54*0.5,"Heavy bulb","")</f>
        <v/>
      </c>
    </row>
    <row r="38" spans="1:7">
      <c r="B38" s="317"/>
      <c r="D38" s="24"/>
    </row>
    <row r="39" spans="1:7">
      <c r="A39" s="338" t="s">
        <v>3208</v>
      </c>
      <c r="B39" s="335" t="str">
        <f>IF(Application!C375=1,"Trim Tab","")</f>
        <v>Trim Tab</v>
      </c>
      <c r="C39" s="336"/>
      <c r="D39" s="337"/>
    </row>
    <row r="40" spans="1:7">
      <c r="A40" s="338" t="s">
        <v>3209</v>
      </c>
      <c r="B40" s="335" t="str">
        <f>IF(Application!C374=1,"Daggerboards","")</f>
        <v>Daggerboards</v>
      </c>
      <c r="C40" s="336"/>
      <c r="D40" s="337"/>
    </row>
    <row r="41" spans="1:7">
      <c r="A41" s="338" t="s">
        <v>3942</v>
      </c>
      <c r="B41" s="335" t="str">
        <f>IF(Application!C376=1,"Canard/forward rudder","")</f>
        <v>Canard/forward rudder</v>
      </c>
      <c r="C41" s="336"/>
      <c r="D41" s="337"/>
      <c r="E41" s="53" t="s">
        <v>932</v>
      </c>
    </row>
    <row r="42" spans="1:7">
      <c r="A42" s="338" t="s">
        <v>2442</v>
      </c>
      <c r="B42" s="335" t="str">
        <f>IF(Application!C378=1,"Hull hollows","")</f>
        <v>Hull hollows</v>
      </c>
      <c r="C42" s="336"/>
      <c r="D42" s="337"/>
      <c r="E42" s="53" t="s">
        <v>940</v>
      </c>
    </row>
    <row r="43" spans="1:7">
      <c r="A43" s="338" t="s">
        <v>3210</v>
      </c>
      <c r="B43" s="335" t="str">
        <f>IF(Application!C372=1,"Batteries","")</f>
        <v>Batteries</v>
      </c>
      <c r="C43" s="336"/>
      <c r="D43" s="337"/>
      <c r="E43" s="53" t="s">
        <v>933</v>
      </c>
    </row>
    <row r="44" spans="1:7">
      <c r="A44" s="338" t="s">
        <v>1643</v>
      </c>
      <c r="B44" s="335" t="str">
        <f>IF(Application!C373=1,"Cushions","")</f>
        <v>Cushions</v>
      </c>
      <c r="C44" s="336"/>
      <c r="D44" s="337"/>
      <c r="E44" s="53" t="s">
        <v>934</v>
      </c>
    </row>
    <row r="45" spans="1:7">
      <c r="A45" s="338" t="s">
        <v>685</v>
      </c>
      <c r="B45" s="335" t="str">
        <f>IF(Application!C363=1,"Water ballast",IF(Application!C363=2,IF(Application!D203="","Water ballast quantity",""),""))</f>
        <v>Water ballast</v>
      </c>
      <c r="C45" s="336" t="str">
        <f>IF(Application!C363=2,IF(Application!D203&gt;Application!D54*0.3,"Excessive water ballast",""),"")</f>
        <v/>
      </c>
      <c r="D45" s="337" t="str">
        <f>IF(Application!C363=2,IF(Application!D203&gt;Application!D54*0.2,"Lots of water ballast",""),"")</f>
        <v/>
      </c>
    </row>
    <row r="46" spans="1:7">
      <c r="A46" s="338" t="s">
        <v>2854</v>
      </c>
      <c r="B46" s="335" t="str">
        <f>IF(AND(Application!C344=10,Application!D205&lt;1),"Static angle of heel","")</f>
        <v/>
      </c>
      <c r="C46" s="336" t="str">
        <f>IF(Application!D205&gt;25,"Very high static heel angle","")</f>
        <v/>
      </c>
      <c r="D46" s="337" t="str">
        <f>IF(Application!D205&gt;20,"High static heel angle","")</f>
        <v/>
      </c>
      <c r="E46" s="53" t="s">
        <v>945</v>
      </c>
    </row>
    <row r="47" spans="1:7">
      <c r="B47" s="317"/>
      <c r="D47" s="24"/>
    </row>
    <row r="48" spans="1:7">
      <c r="A48" s="323" t="s">
        <v>535</v>
      </c>
      <c r="B48" s="324"/>
      <c r="C48" s="325"/>
      <c r="D48" s="326"/>
    </row>
    <row r="49" spans="1:7">
      <c r="A49" s="327" t="s">
        <v>366</v>
      </c>
      <c r="B49" s="324" t="str">
        <f>IF(Application!D97="","P","")</f>
        <v>P</v>
      </c>
      <c r="C49" s="325" t="e">
        <f>IF(Application!D97/Application!D47&lt;0.9,"Very short rig","")</f>
        <v>#DIV/0!</v>
      </c>
      <c r="D49" s="326" t="e">
        <f>IF(Application!D97/Application!D47&lt;1,"Short rig","")</f>
        <v>#DIV/0!</v>
      </c>
    </row>
    <row r="50" spans="1:7">
      <c r="A50" s="327" t="s">
        <v>368</v>
      </c>
      <c r="B50" s="324" t="str">
        <f>IF(Application!D98="","E","")</f>
        <v>E</v>
      </c>
      <c r="C50" s="325" t="e">
        <f>IF(F32=TRUE,"Very long/short E","")</f>
        <v>#DIV/0!</v>
      </c>
      <c r="D50" s="326" t="e">
        <f>IF(G32=TRUE,"Long/short E","")</f>
        <v>#DIV/0!</v>
      </c>
      <c r="E50" s="53" t="s">
        <v>1084</v>
      </c>
    </row>
    <row r="51" spans="1:7">
      <c r="A51" s="327" t="s">
        <v>371</v>
      </c>
      <c r="B51" s="324" t="str">
        <f>IF(Application!D99="","J","")</f>
        <v>J</v>
      </c>
      <c r="C51" s="325" t="e">
        <f>IF(F33=TRUE,"Very long/short J","")</f>
        <v>#DIV/0!</v>
      </c>
      <c r="D51" s="326" t="e">
        <f>IF(G33=TRUE,"Long/short J","")</f>
        <v>#DIV/0!</v>
      </c>
      <c r="E51" s="53" t="s">
        <v>1085</v>
      </c>
    </row>
    <row r="52" spans="1:7">
      <c r="A52" s="327" t="s">
        <v>374</v>
      </c>
      <c r="B52" s="324" t="str">
        <f>IF(Application!D100="","FL","")</f>
        <v>FL</v>
      </c>
      <c r="C52" s="325" t="str">
        <f>IF(F35=TRUE,"Very long/short FL","")</f>
        <v/>
      </c>
      <c r="D52" s="326" t="str">
        <f>IF(G35=TRUE,"Long/short FL","")</f>
        <v/>
      </c>
    </row>
    <row r="53" spans="1:7">
      <c r="A53" s="327" t="s">
        <v>944</v>
      </c>
      <c r="B53" s="324" t="str">
        <f>IF(OR(Application!D101="",Application!D101=0),"STL and/or SPL required if spinnaker carried","")</f>
        <v>STL and/or SPL required if spinnaker carried</v>
      </c>
      <c r="C53" s="325" t="str">
        <f>IF(Application!D101&lt;Application!D99,"STL less than J - not possible","")</f>
        <v/>
      </c>
      <c r="D53" s="326" t="str">
        <f>IF(Application!D101&gt;1.5*Application!D99,"Long STL","")</f>
        <v/>
      </c>
    </row>
    <row r="54" spans="1:7">
      <c r="A54" s="327" t="s">
        <v>5227</v>
      </c>
      <c r="B54" s="324" t="str">
        <f>IF(OR(Application!D102="",Application!D102=0),"STL and/or SPL required if spinnaker carried","")</f>
        <v>STL and/or SPL required if spinnaker carried</v>
      </c>
      <c r="C54" s="325"/>
      <c r="D54" s="326"/>
    </row>
    <row r="55" spans="1:7">
      <c r="A55" s="327" t="s">
        <v>2443</v>
      </c>
      <c r="B55" s="324" t="str">
        <f>IF(Application!C354=1,"Pole/bowsprit type","")</f>
        <v>Pole/bowsprit type</v>
      </c>
      <c r="C55" s="325"/>
      <c r="D55" s="326"/>
      <c r="E55" s="53" t="s">
        <v>1553</v>
      </c>
    </row>
    <row r="56" spans="1:7">
      <c r="A56" s="327" t="s">
        <v>5294</v>
      </c>
      <c r="B56" s="324" t="str">
        <f>IF(Application!A431=1,"Whisker pole Y/N","")</f>
        <v>Whisker pole Y/N</v>
      </c>
      <c r="C56" s="325"/>
      <c r="D56" s="326"/>
    </row>
    <row r="57" spans="1:7">
      <c r="A57" s="323" t="s">
        <v>538</v>
      </c>
      <c r="B57" s="324"/>
      <c r="C57" s="325"/>
      <c r="D57" s="326"/>
    </row>
    <row r="58" spans="1:7">
      <c r="A58" s="327" t="s">
        <v>367</v>
      </c>
      <c r="B58" s="324" t="str">
        <f>IF(F36=TRUE,IF(Application!D213="","Two masts. PY",""),"")</f>
        <v/>
      </c>
      <c r="C58" s="325" t="str">
        <f>IF(G36=TRUE,IF(Application!D214&gt;Application!D97,"Ketch/Yawl - PY&gt;P",""),IF(Application!C353=5,IF(Application!D213&lt;Application!D97,"Schooner - P&lt;PY",""),""))</f>
        <v/>
      </c>
      <c r="D58" s="326"/>
      <c r="E58" s="53" t="s">
        <v>1086</v>
      </c>
      <c r="F58" s="53" t="b">
        <f>OR(Application!D120&lt;Application!D99,Application!D120&gt;1.6*Application!D99)</f>
        <v>0</v>
      </c>
      <c r="G58" s="53" t="b">
        <f>OR(Application!D120&lt;Application!D99,Application!D120&gt;1.55*Application!D99)</f>
        <v>0</v>
      </c>
    </row>
    <row r="59" spans="1:7">
      <c r="A59" s="327" t="s">
        <v>369</v>
      </c>
      <c r="B59" s="324" t="str">
        <f>IF(Validation!F36=TRUE,IF(Application!D214="","Two masts. EY",""),"")</f>
        <v/>
      </c>
      <c r="C59" s="325"/>
      <c r="D59" s="326"/>
    </row>
    <row r="60" spans="1:7">
      <c r="B60" s="317"/>
      <c r="D60" s="24"/>
    </row>
    <row r="61" spans="1:7">
      <c r="A61" s="323" t="s">
        <v>539</v>
      </c>
      <c r="B61" s="324"/>
      <c r="C61" s="325"/>
      <c r="D61" s="326"/>
    </row>
    <row r="62" spans="1:7">
      <c r="A62" s="327" t="s">
        <v>946</v>
      </c>
      <c r="B62" s="324" t="str">
        <f>IF(Application!C353&lt;&gt;6,IF(Application!D118="","LLmax",""),"")</f>
        <v>LLmax</v>
      </c>
      <c r="C62" s="325" t="str">
        <f>IF(Application!D118&lt;Application!D119,"Llmax &lt; LL!",IF(Application!D118&lt;0.8*Application!D100,"Very short LLmax",""))</f>
        <v/>
      </c>
      <c r="D62" s="326" t="str">
        <f>IF(Application!D118&lt;0.9*Application!D100,"Short LLmax",IF(Application!D118&gt;Application!D100,"Llmax &gt; FL",""))</f>
        <v/>
      </c>
      <c r="E62" s="53" t="s">
        <v>1556</v>
      </c>
    </row>
    <row r="63" spans="1:7">
      <c r="A63" s="327" t="s">
        <v>1071</v>
      </c>
      <c r="B63" s="324" t="str">
        <f>IF(Application!C353&lt;&gt;6,IF(Application!D119="","LL",""),"")</f>
        <v>LL</v>
      </c>
      <c r="C63" s="325" t="str">
        <f>IF(Application!D119&lt;0.8*Application!D100,"Very short LL","")</f>
        <v/>
      </c>
      <c r="D63" s="326" t="str">
        <f>IF(Application!D119&lt;0.9*Application!D100,"Short LL",IF(Application!D119&gt;Application!D100,"LL &gt; FL",""))</f>
        <v/>
      </c>
      <c r="E63" s="53" t="s">
        <v>1555</v>
      </c>
    </row>
    <row r="64" spans="1:7">
      <c r="A64" s="327" t="s">
        <v>159</v>
      </c>
      <c r="B64" s="324"/>
      <c r="C64" s="325"/>
      <c r="D64" s="326" t="e">
        <f>IF(Application!D118/Application!D100&gt;0.97, "LLmax &gt; 0.97*FL. Plesae check FL and/or LLmax","")</f>
        <v>#DIV/0!</v>
      </c>
      <c r="E64" s="53" t="s">
        <v>1554</v>
      </c>
    </row>
    <row r="65" spans="1:6">
      <c r="A65" s="327" t="s">
        <v>1072</v>
      </c>
      <c r="B65" s="324" t="str">
        <f>IF(Application!C353&lt;&gt;6,IF(Application!D120="","LP",""),"")</f>
        <v>LP</v>
      </c>
      <c r="C65" s="325" t="str">
        <f>IF(F58=TRUE,"Very long or short LP","")</f>
        <v/>
      </c>
      <c r="D65" s="326" t="str">
        <f>IF(G58=TRUE,"Long or short LP","")</f>
        <v/>
      </c>
      <c r="E65" s="53" t="s">
        <v>1560</v>
      </c>
      <c r="F65" s="53" t="b">
        <f>AND(Application!D140&gt;0,Application!F146&lt;10,Application!F147&lt;10)</f>
        <v>0</v>
      </c>
    </row>
    <row r="66" spans="1:6">
      <c r="A66" s="327" t="s">
        <v>2479</v>
      </c>
      <c r="B66" s="324" t="str">
        <f>IF(Application!C353&lt;&gt;6,IF(Application!D121="","HUW",""))</f>
        <v>HUW</v>
      </c>
      <c r="C66" s="325" t="e">
        <f>IF(Application!D121/Application!D120&gt;0.15,"Very large HUW","")</f>
        <v>#DIV/0!</v>
      </c>
      <c r="D66" s="326" t="str">
        <f>IF(Application!D121&gt;0.125*Application!D120,"HUW &gt; 12.5% of LP","")</f>
        <v/>
      </c>
      <c r="E66" s="53" t="s">
        <v>15</v>
      </c>
      <c r="F66" s="53" t="b">
        <f>AND(Application!D144&gt;0.01,Application!D145&gt;0.01,Application!D146&gt;0.01,Application!D147&lt;0.01)</f>
        <v>0</v>
      </c>
    </row>
    <row r="67" spans="1:6">
      <c r="A67" s="327" t="s">
        <v>181</v>
      </c>
      <c r="B67" s="324" t="str">
        <f>IF(Application!C353&lt;&gt;6,IF(Application!D122="","HTW",""))</f>
        <v>HTW</v>
      </c>
      <c r="C67" s="325" t="e">
        <f>IF(Application!D122/Application!D120&gt;0.3,"Very large HTW","")</f>
        <v>#DIV/0!</v>
      </c>
      <c r="D67" s="326" t="str">
        <f>IF(Application!D122&gt;0.251*Application!D120,"HTW &gt; 25% of LP","")</f>
        <v/>
      </c>
      <c r="E67" s="53" t="s">
        <v>1560</v>
      </c>
      <c r="F67" s="53" t="b">
        <f>AND(Application!D141&gt;0,Application!F153&lt;10,Application!F154&lt;10)</f>
        <v>0</v>
      </c>
    </row>
    <row r="68" spans="1:6">
      <c r="A68" s="327" t="s">
        <v>1087</v>
      </c>
      <c r="B68" s="324" t="str">
        <f>IF(Application!C353&lt;6,IF(Application!D123="","HHW",""),"")</f>
        <v>HHW</v>
      </c>
      <c r="C68" s="325" t="str">
        <f>IF(Application!D123&gt;0.75*Application!D120,"HHW &gt; 75% of LP. ?Spinnaker?",IF(Application!D121&gt;0.6*Application!D120,"Very large HHW",""))</f>
        <v/>
      </c>
      <c r="D68" s="326" t="str">
        <f>IF(Application!D123&gt;0.501*Application!D120,"HHW &gt; 50% of LP","")</f>
        <v/>
      </c>
      <c r="E68" s="53" t="s">
        <v>15</v>
      </c>
      <c r="F68" s="53" t="b">
        <f>AND(Application!D151&gt;0.01,Application!D152&gt;0.01,Application!D153&gt;0.01,Application!D154&lt;0.01)</f>
        <v>0</v>
      </c>
    </row>
    <row r="69" spans="1:6">
      <c r="A69" s="327" t="s">
        <v>1460</v>
      </c>
      <c r="B69" s="324" t="str">
        <f>IF(Application!D109="","MUW","")</f>
        <v>MUW</v>
      </c>
      <c r="C69" s="325" t="str">
        <f>IF(OR(Application!D109&gt;0.35*Application!D98,Application!D109&lt;0.1*Application!D98),"Very large or small MUW - check","")</f>
        <v/>
      </c>
      <c r="D69" s="326" t="str">
        <f>IF(Application!D109&gt;ROUND(0.22*Application!D98,2),"MUW &gt; 0.22E","")</f>
        <v/>
      </c>
    </row>
    <row r="70" spans="1:6">
      <c r="A70" s="327" t="s">
        <v>1459</v>
      </c>
      <c r="B70" s="324" t="str">
        <f>IF(Application!D110="","MTW","")</f>
        <v>MTW</v>
      </c>
      <c r="C70" s="325" t="str">
        <f>IF(OR(Application!D110&gt;0.5*Application!D98,Application!D110&lt;0.15*Application!D98),"Very large or small MTW - check","")</f>
        <v/>
      </c>
      <c r="D70" s="326" t="str">
        <f>IF(Application!D110&gt;ROUND(0.38*Application!D98,2),"MTW &gt; 0.38E","")</f>
        <v/>
      </c>
    </row>
    <row r="71" spans="1:6">
      <c r="A71" s="327" t="s">
        <v>1457</v>
      </c>
      <c r="B71" s="324" t="str">
        <f>IF(Application!D111="","MHW","")</f>
        <v>MHW</v>
      </c>
      <c r="C71" s="325" t="str">
        <f>IF(OR(Application!D111&gt;0.8*Application!D98,Application!D111&lt;0.4*Application!D98),"Very large or small MHW - check","")</f>
        <v/>
      </c>
      <c r="D71" s="326" t="str">
        <f>IF(Application!D111&gt;ROUND(0.65*Application!D98,2),"MHW &gt; 0.65E","")</f>
        <v/>
      </c>
    </row>
    <row r="72" spans="1:6">
      <c r="A72" s="327" t="s">
        <v>1558</v>
      </c>
      <c r="B72" s="324" t="str">
        <f>IF(F65=TRUE,"SPA or symmetric dimensions","")</f>
        <v/>
      </c>
      <c r="C72" s="325"/>
      <c r="D72" s="326"/>
    </row>
    <row r="73" spans="1:6">
      <c r="A73" s="327" t="s">
        <v>1559</v>
      </c>
      <c r="B73" s="324" t="str">
        <f>IF(F66=TRUE,"Incomplete data","")</f>
        <v/>
      </c>
      <c r="C73" s="325" t="str">
        <f>IF(Application!D147&lt;0.75*Application!D146,"SHW &lt; 75% of SF. ?Headsail?",IF(Application!D147&gt;1.25*Application!D146,"SHW&gt;125% of SF. ?Data?",""))</f>
        <v/>
      </c>
      <c r="D73" s="326"/>
    </row>
    <row r="74" spans="1:6">
      <c r="A74" s="327" t="s">
        <v>1561</v>
      </c>
      <c r="B74" s="324" t="str">
        <f>IF(F67=TRUE,"SPA or asymmetric dimensions","")</f>
        <v/>
      </c>
      <c r="C74" s="325"/>
      <c r="D74" s="326"/>
    </row>
    <row r="75" spans="1:6">
      <c r="A75" s="327" t="s">
        <v>1562</v>
      </c>
      <c r="B75" s="324" t="str">
        <f>IF(F68=TRUE,"Incomplete data","")</f>
        <v/>
      </c>
      <c r="C75" s="325" t="str">
        <f>IF(Application!D154&lt;0.75*Application!D153,"SHW &lt; 75% of SF. ?Headsail?",IF(Application!D154&gt;1.25*Application!D153,"ASHW&gt;125% of ASF. ?Data?",""))</f>
        <v/>
      </c>
      <c r="D75" s="326"/>
    </row>
    <row r="76" spans="1:6">
      <c r="A76" s="327" t="s">
        <v>540</v>
      </c>
      <c r="B76" s="324" t="str">
        <f>IF(AND(Inputs!CD3&gt;0,Inputs!BN3=0),"No. of spinnakers","")</f>
        <v/>
      </c>
      <c r="C76" s="325"/>
      <c r="D76" s="326" t="str">
        <f>IF(Inputs!BN10&gt;3,"More than 3 spinnakers","")</f>
        <v/>
      </c>
    </row>
    <row r="77" spans="1:6">
      <c r="A77" s="327" t="s">
        <v>2450</v>
      </c>
      <c r="B77" s="324" t="str">
        <f>IF(Application!C104="","Sailmaker","")</f>
        <v>Sailmaker</v>
      </c>
      <c r="C77" s="325"/>
      <c r="D77" s="326"/>
    </row>
    <row r="79" spans="1:6">
      <c r="A79" s="328" t="s">
        <v>545</v>
      </c>
      <c r="B79" s="329"/>
      <c r="C79" s="330"/>
      <c r="D79" s="331"/>
    </row>
    <row r="80" spans="1:6">
      <c r="A80" s="331" t="s">
        <v>2386</v>
      </c>
      <c r="B80" s="332" t="str">
        <f>IF(Application!C355=1,"Mast material","")</f>
        <v>Mast material</v>
      </c>
      <c r="C80" s="330"/>
      <c r="D80" s="333"/>
    </row>
    <row r="81" spans="1:7">
      <c r="A81" s="331" t="s">
        <v>1563</v>
      </c>
      <c r="B81" s="332" t="str">
        <f>IF(Application!D165&lt;1, "Spreaders","")</f>
        <v>Spreaders</v>
      </c>
      <c r="C81" s="330"/>
      <c r="D81" s="333" t="e">
        <f>IF(Application!D47^1.3/Application!D165&lt;8,"Check spreader Nos.","")</f>
        <v>#DIV/0!</v>
      </c>
      <c r="E81" s="53" t="s">
        <v>1566</v>
      </c>
      <c r="F81" s="53" t="b">
        <f>AND(Application!C366,Application!D120&lt;1.3*Application!D99)</f>
        <v>0</v>
      </c>
    </row>
    <row r="82" spans="1:7">
      <c r="A82" s="331" t="s">
        <v>1564</v>
      </c>
      <c r="B82" s="332" t="str">
        <f>IF(Application!D166="", "Jumpers","")</f>
        <v>Jumpers</v>
      </c>
      <c r="C82" s="330" t="str">
        <f>IF(Application!D166&gt;1,"Check No. of jumpers","")</f>
        <v/>
      </c>
      <c r="D82" s="331"/>
    </row>
    <row r="83" spans="1:7">
      <c r="A83" s="331" t="s">
        <v>4306</v>
      </c>
      <c r="B83" s="332" t="str">
        <f>IF(Application!D167="", "Aft rigging","")</f>
        <v>Aft rigging</v>
      </c>
      <c r="C83" s="330" t="str">
        <f>IF(Application!D167&gt;1,"Check No. of stays","")</f>
        <v/>
      </c>
      <c r="D83" s="333"/>
    </row>
    <row r="84" spans="1:7">
      <c r="A84" s="331" t="s">
        <v>2444</v>
      </c>
      <c r="B84" s="332" t="str">
        <f>IF(Application!C365=1,"Unusual rig features","")</f>
        <v>Unusual rig features</v>
      </c>
      <c r="C84" s="330"/>
      <c r="D84" s="333"/>
    </row>
    <row r="85" spans="1:7">
      <c r="A85" s="331" t="s">
        <v>2445</v>
      </c>
      <c r="B85" s="332" t="str">
        <f>IF(Application!C359=1,"Standing rigging material","")</f>
        <v>Standing rigging material</v>
      </c>
      <c r="C85" s="330"/>
      <c r="D85" s="333"/>
    </row>
    <row r="86" spans="1:7">
      <c r="A86" s="331" t="s">
        <v>1565</v>
      </c>
      <c r="B86" s="332" t="str">
        <f>IF(Application!C366=1,"Furling headsail Yes/No","")</f>
        <v>Furling headsail Yes/No</v>
      </c>
      <c r="C86" s="330"/>
      <c r="D86" s="333" t="str">
        <f>IF(F81=TRUE,"LP &lt; 130% of J","")</f>
        <v/>
      </c>
      <c r="E86" s="53" t="s">
        <v>1568</v>
      </c>
      <c r="F86" s="53" t="b">
        <f>AND(Application!C357&gt;2,Application!F180="")</f>
        <v>0</v>
      </c>
      <c r="G86" s="53" t="b">
        <f>OR(AND(Application!C357=3,Application!F180&gt;40),AND(Application!C357=4,Application!F180&lt;50))</f>
        <v>0</v>
      </c>
    </row>
    <row r="87" spans="1:7">
      <c r="A87" s="331" t="s">
        <v>2480</v>
      </c>
      <c r="B87" s="332" t="str">
        <f>IF(Application!C402=1,"Total no of headsails","")</f>
        <v>Total no of headsails</v>
      </c>
      <c r="C87" s="330"/>
      <c r="D87" s="333"/>
    </row>
    <row r="88" spans="1:7">
      <c r="A88" s="331" t="s">
        <v>2449</v>
      </c>
      <c r="B88" s="332" t="str">
        <f>IF(Application!C369=1,"Heavy Weather jib Yes/No","")</f>
        <v>Heavy Weather jib Yes/No</v>
      </c>
      <c r="C88" s="330"/>
      <c r="D88" s="333"/>
    </row>
    <row r="89" spans="1:7">
      <c r="A89" s="331" t="s">
        <v>2446</v>
      </c>
      <c r="B89" s="332" t="str">
        <f>IF(Application!C371=1,"In-mast furling","")</f>
        <v>In-mast furling</v>
      </c>
      <c r="C89" s="330"/>
      <c r="D89" s="333"/>
    </row>
    <row r="90" spans="1:7">
      <c r="B90" s="317"/>
      <c r="D90" s="24"/>
    </row>
    <row r="91" spans="1:7">
      <c r="A91" s="316" t="s">
        <v>2396</v>
      </c>
      <c r="B91" s="313" t="str">
        <f>IF(Application!C368=1,"Guardrails","")</f>
        <v>Guardrails</v>
      </c>
      <c r="C91" s="314"/>
      <c r="D91" s="315"/>
    </row>
    <row r="92" spans="1:7">
      <c r="B92" s="317"/>
      <c r="D92" s="24"/>
    </row>
    <row r="93" spans="1:7">
      <c r="A93" s="316" t="s">
        <v>1567</v>
      </c>
      <c r="B93" s="313" t="str">
        <f>IF(Application!C357=1,"Engine type",IF(AND(Application!C357&gt;2,Application!F180=""),"Engine weight",""))</f>
        <v>Engine type</v>
      </c>
      <c r="C93" s="314" t="str">
        <f>IF(G86=TRUE,"Engine weight/type inconsistent","")</f>
        <v/>
      </c>
      <c r="D93" s="315"/>
    </row>
    <row r="94" spans="1:7">
      <c r="A94" s="316" t="s">
        <v>542</v>
      </c>
      <c r="B94" s="313" t="str">
        <f>IF(AND(Application!C357=4,Application!C358=1),"Propeller type","")</f>
        <v/>
      </c>
      <c r="C94" s="314"/>
      <c r="D94" s="315"/>
    </row>
    <row r="95" spans="1:7">
      <c r="A95" s="316" t="s">
        <v>541</v>
      </c>
      <c r="B95" s="313" t="str">
        <f>IF(AND(Application!C358=4,Application!C379=1),"No. of propellers","")</f>
        <v/>
      </c>
      <c r="C95" s="314" t="str">
        <f>IF(AND(Application!$D$47&lt;18,Application!$D$47&gt;0.01,Application!$C$379=3),"Twin props unlikely, check input","")</f>
        <v/>
      </c>
      <c r="D95" s="315"/>
    </row>
    <row r="97" spans="1:4">
      <c r="A97" s="316" t="s">
        <v>3663</v>
      </c>
      <c r="B97" s="313" t="str">
        <f>IF(Application!C385=1,"Stored Power","")</f>
        <v>Stored Power</v>
      </c>
      <c r="C97" s="314"/>
      <c r="D97" s="315"/>
    </row>
    <row r="98" spans="1:4">
      <c r="A98" s="316" t="s">
        <v>543</v>
      </c>
      <c r="B98" s="313" t="str">
        <f>IF(Application!C388=1,"Mast foot adjustment","")</f>
        <v>Mast foot adjustment</v>
      </c>
      <c r="C98" s="314"/>
      <c r="D98" s="315"/>
    </row>
    <row r="99" spans="1:4">
      <c r="A99" s="316" t="s">
        <v>544</v>
      </c>
      <c r="B99" s="313" t="str">
        <f>IF(Application!C389=1,"Forestay adjustment","")</f>
        <v>Forestay adjustment</v>
      </c>
      <c r="C99" s="314"/>
      <c r="D99" s="315"/>
    </row>
    <row r="100" spans="1:4">
      <c r="A100" s="316" t="s">
        <v>2447</v>
      </c>
      <c r="B100" s="313" t="str">
        <f>IF(Application!C386=1,"Spec changes","")</f>
        <v>Spec changes</v>
      </c>
      <c r="C100" s="314"/>
      <c r="D100" s="315"/>
    </row>
    <row r="101" spans="1:4">
      <c r="A101" s="316" t="s">
        <v>845</v>
      </c>
      <c r="B101" s="313" t="str">
        <f>IF(AND(Application!C408=2,Application!F229=""),"No. of doors removed","")</f>
        <v/>
      </c>
      <c r="C101" s="314"/>
      <c r="D101" s="315"/>
    </row>
    <row r="102" spans="1:4">
      <c r="B102" s="317"/>
      <c r="D102" s="24"/>
    </row>
    <row r="103" spans="1:4">
      <c r="A103" s="316" t="s">
        <v>2448</v>
      </c>
      <c r="B103" s="313" t="str">
        <f>IF(Application!C370=FALSE,"Please tick declaration","")</f>
        <v>Please tick declaration</v>
      </c>
      <c r="C103" s="314"/>
      <c r="D103" s="315"/>
    </row>
    <row r="104" spans="1:4">
      <c r="A104" s="316" t="s">
        <v>1739</v>
      </c>
      <c r="B104" s="313" t="str">
        <f>IF(Application!C393=1,"Rating Authority","")</f>
        <v>Rating Authority</v>
      </c>
      <c r="C104" s="314"/>
      <c r="D104" s="315"/>
    </row>
    <row r="105" spans="1:4">
      <c r="A105" s="316" t="s">
        <v>3950</v>
      </c>
      <c r="B105" s="313" t="str">
        <f>IF(Application!C394=1,"Area/Country","")</f>
        <v>Area/Country</v>
      </c>
      <c r="C105" s="314"/>
      <c r="D105" s="315"/>
    </row>
    <row r="106" spans="1:4">
      <c r="B106" s="317"/>
      <c r="D106" s="24"/>
    </row>
    <row r="107" spans="1:4">
      <c r="B107" s="317"/>
      <c r="D107" s="24"/>
    </row>
    <row r="108" spans="1:4">
      <c r="B108" s="317"/>
      <c r="D108" s="24"/>
    </row>
    <row r="109" spans="1:4">
      <c r="B109" s="317"/>
      <c r="D109" s="24"/>
    </row>
    <row r="110" spans="1:4">
      <c r="B110" s="317"/>
      <c r="D110" s="24"/>
    </row>
    <row r="111" spans="1:4">
      <c r="B111" s="317"/>
      <c r="D111" s="24"/>
    </row>
    <row r="112" spans="1:4">
      <c r="B112" s="317"/>
      <c r="D112" s="24"/>
    </row>
    <row r="113" spans="2:4">
      <c r="B113" s="317"/>
      <c r="D113" s="24"/>
    </row>
    <row r="114" spans="2:4">
      <c r="B114" s="317"/>
      <c r="D114" s="24"/>
    </row>
    <row r="115" spans="2:4">
      <c r="B115" s="317"/>
      <c r="D115" s="24"/>
    </row>
  </sheetData>
  <sheetProtection algorithmName="SHA-512" hashValue="TlfiNTsGLTJ7MHemv7+5fcXY0PM7SDokxghoon8xbNPi+quLvH99imz4oMPRH5QrahY4IukoJcj0J0Cx5Lcjyg==" saltValue="jHZvuOM7X3H1GSiMxnFQAw==" spinCount="100000" sheet="1" objects="1" scenarios="1"/>
  <phoneticPr fontId="19"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8.84375" defaultRowHeight="12.45"/>
  <sheetData/>
  <phoneticPr fontId="193"/>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defaultColWidth="8.84375" defaultRowHeight="12.45"/>
  <cols>
    <col min="1" max="6" width="8.84375" customWidth="1"/>
    <col min="7" max="7" width="32.53515625" customWidth="1"/>
  </cols>
  <sheetData>
    <row r="1" spans="1:15" ht="30.75" customHeight="1">
      <c r="A1" s="850" t="s">
        <v>4258</v>
      </c>
      <c r="B1" s="850"/>
      <c r="C1" s="850"/>
      <c r="D1" s="850"/>
      <c r="E1" s="850"/>
      <c r="F1" s="850"/>
      <c r="G1" s="850"/>
    </row>
    <row r="5" spans="1:15">
      <c r="J5" s="860" t="s">
        <v>4063</v>
      </c>
      <c r="K5" s="861"/>
      <c r="L5" s="861"/>
      <c r="M5" s="861"/>
      <c r="N5" s="862"/>
    </row>
    <row r="6" spans="1:15" ht="18" customHeight="1">
      <c r="J6" s="863" t="s">
        <v>1864</v>
      </c>
      <c r="K6" s="863"/>
      <c r="L6" s="863"/>
      <c r="M6" s="863"/>
      <c r="N6" s="863"/>
      <c r="O6" s="136"/>
    </row>
    <row r="7" spans="1:15">
      <c r="J7" s="863"/>
      <c r="K7" s="863"/>
      <c r="L7" s="863"/>
      <c r="M7" s="863"/>
      <c r="N7" s="863"/>
      <c r="O7" s="136"/>
    </row>
    <row r="8" spans="1:15">
      <c r="J8" s="863"/>
      <c r="K8" s="863"/>
      <c r="L8" s="863"/>
      <c r="M8" s="863"/>
      <c r="N8" s="863"/>
      <c r="O8" s="136"/>
    </row>
    <row r="9" spans="1:15">
      <c r="J9" s="863"/>
      <c r="K9" s="863"/>
      <c r="L9" s="863"/>
      <c r="M9" s="863"/>
      <c r="N9" s="863"/>
      <c r="O9" s="136"/>
    </row>
    <row r="10" spans="1:15">
      <c r="J10" s="863"/>
      <c r="K10" s="863"/>
      <c r="L10" s="863"/>
      <c r="M10" s="863"/>
      <c r="N10" s="863"/>
      <c r="O10" s="136"/>
    </row>
    <row r="11" spans="1:15">
      <c r="J11" s="863"/>
      <c r="K11" s="863"/>
      <c r="L11" s="863"/>
      <c r="M11" s="863"/>
      <c r="N11" s="863"/>
      <c r="O11" s="136"/>
    </row>
    <row r="12" spans="1:15">
      <c r="J12" s="863"/>
      <c r="K12" s="863"/>
      <c r="L12" s="863"/>
      <c r="M12" s="863"/>
      <c r="N12" s="863"/>
      <c r="O12" s="136"/>
    </row>
    <row r="13" spans="1:15" ht="16.5" customHeight="1">
      <c r="O13" s="136"/>
    </row>
    <row r="14" spans="1:15">
      <c r="J14" s="864" t="s">
        <v>1865</v>
      </c>
      <c r="K14" s="865"/>
      <c r="L14" s="865"/>
      <c r="M14" s="865"/>
      <c r="N14" s="866"/>
    </row>
    <row r="15" spans="1:15">
      <c r="J15" s="867"/>
      <c r="K15" s="868"/>
      <c r="L15" s="868"/>
      <c r="M15" s="868"/>
      <c r="N15" s="869"/>
    </row>
    <row r="16" spans="1:15">
      <c r="J16" s="867"/>
      <c r="K16" s="868"/>
      <c r="L16" s="868"/>
      <c r="M16" s="868"/>
      <c r="N16" s="869"/>
    </row>
    <row r="17" spans="10:14">
      <c r="J17" s="867"/>
      <c r="K17" s="868"/>
      <c r="L17" s="868"/>
      <c r="M17" s="868"/>
      <c r="N17" s="869"/>
    </row>
    <row r="18" spans="10:14">
      <c r="J18" s="867"/>
      <c r="K18" s="868"/>
      <c r="L18" s="868"/>
      <c r="M18" s="868"/>
      <c r="N18" s="869"/>
    </row>
    <row r="19" spans="10:14">
      <c r="J19" s="867"/>
      <c r="K19" s="868"/>
      <c r="L19" s="868"/>
      <c r="M19" s="868"/>
      <c r="N19" s="869"/>
    </row>
    <row r="20" spans="10:14">
      <c r="J20" s="867"/>
      <c r="K20" s="868"/>
      <c r="L20" s="868"/>
      <c r="M20" s="868"/>
      <c r="N20" s="869"/>
    </row>
    <row r="21" spans="10:14">
      <c r="J21" s="867"/>
      <c r="K21" s="868"/>
      <c r="L21" s="868"/>
      <c r="M21" s="868"/>
      <c r="N21" s="869"/>
    </row>
    <row r="22" spans="10:14">
      <c r="J22" s="867"/>
      <c r="K22" s="868"/>
      <c r="L22" s="868"/>
      <c r="M22" s="868"/>
      <c r="N22" s="869"/>
    </row>
    <row r="23" spans="10:14">
      <c r="J23" s="870"/>
      <c r="K23" s="871"/>
      <c r="L23" s="871"/>
      <c r="M23" s="871"/>
      <c r="N23" s="872"/>
    </row>
    <row r="24" spans="10:14">
      <c r="J24" s="136"/>
      <c r="K24" s="136"/>
      <c r="L24" s="136"/>
      <c r="M24" s="136"/>
      <c r="N24" s="136"/>
    </row>
    <row r="26" spans="10:14">
      <c r="J26" s="873" t="s">
        <v>1500</v>
      </c>
      <c r="K26" s="874"/>
      <c r="L26" s="874"/>
      <c r="M26" s="874"/>
      <c r="N26" s="875"/>
    </row>
    <row r="27" spans="10:14">
      <c r="J27" s="876"/>
      <c r="K27" s="877"/>
      <c r="L27" s="877"/>
      <c r="M27" s="877"/>
      <c r="N27" s="878"/>
    </row>
    <row r="28" spans="10:14">
      <c r="J28" s="876"/>
      <c r="K28" s="877"/>
      <c r="L28" s="877"/>
      <c r="M28" s="877"/>
      <c r="N28" s="878"/>
    </row>
    <row r="29" spans="10:14">
      <c r="J29" s="879"/>
      <c r="K29" s="880"/>
      <c r="L29" s="880"/>
      <c r="M29" s="880"/>
      <c r="N29" s="881"/>
    </row>
    <row r="31" spans="10:14">
      <c r="J31" s="851" t="s">
        <v>4235</v>
      </c>
      <c r="K31" s="852"/>
      <c r="L31" s="852"/>
      <c r="M31" s="852"/>
      <c r="N31" s="853"/>
    </row>
    <row r="32" spans="10:14">
      <c r="J32" s="854"/>
      <c r="K32" s="855"/>
      <c r="L32" s="855"/>
      <c r="M32" s="855"/>
      <c r="N32" s="856"/>
    </row>
    <row r="33" spans="10:14">
      <c r="J33" s="854"/>
      <c r="K33" s="855"/>
      <c r="L33" s="855"/>
      <c r="M33" s="855"/>
      <c r="N33" s="856"/>
    </row>
    <row r="34" spans="10:14">
      <c r="J34" s="857"/>
      <c r="K34" s="858"/>
      <c r="L34" s="858"/>
      <c r="M34" s="858"/>
      <c r="N34" s="859"/>
    </row>
    <row r="37" spans="10:14" ht="20.149999999999999">
      <c r="J37" s="24"/>
      <c r="L37" s="137"/>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defaultColWidth="14.53515625" defaultRowHeight="10.3"/>
  <cols>
    <col min="1" max="2" width="21" style="19" customWidth="1"/>
    <col min="3" max="3" width="22.4609375" style="25" bestFit="1" customWidth="1"/>
    <col min="4" max="4" width="6" style="25" bestFit="1" customWidth="1"/>
    <col min="5" max="5" width="10.53515625" style="21" bestFit="1" customWidth="1"/>
    <col min="6" max="6" width="4.4609375" style="21" bestFit="1" customWidth="1"/>
    <col min="7" max="7" width="5.4609375" style="21" bestFit="1" customWidth="1"/>
    <col min="8" max="8" width="4" style="21" bestFit="1" customWidth="1"/>
    <col min="9" max="16384" width="14.53515625" style="19"/>
  </cols>
  <sheetData>
    <row r="1" spans="1:10" ht="12.45">
      <c r="A1" s="892" t="s">
        <v>202</v>
      </c>
      <c r="B1" s="892"/>
      <c r="C1" s="892"/>
      <c r="D1" s="892"/>
      <c r="E1" s="892"/>
      <c r="F1" s="892"/>
      <c r="G1" s="197"/>
      <c r="H1" s="197"/>
      <c r="I1" s="197"/>
      <c r="J1" s="197"/>
    </row>
    <row r="2" spans="1:10" ht="12.45">
      <c r="A2" s="24"/>
      <c r="B2" s="20"/>
      <c r="C2" s="24"/>
      <c r="D2" s="24"/>
      <c r="E2" s="24"/>
      <c r="F2" s="24"/>
      <c r="G2" s="24"/>
      <c r="H2" s="24"/>
      <c r="I2" s="24"/>
      <c r="J2" s="24"/>
    </row>
    <row r="3" spans="1:10" ht="12.45">
      <c r="A3" s="20" t="s">
        <v>3964</v>
      </c>
      <c r="B3" s="20"/>
      <c r="C3" s="20"/>
      <c r="D3" s="20"/>
      <c r="E3" s="20"/>
    </row>
    <row r="4" spans="1:10" ht="12.45">
      <c r="A4" s="20" t="s">
        <v>3801</v>
      </c>
      <c r="B4" s="20"/>
      <c r="C4" s="20"/>
      <c r="D4" s="20"/>
      <c r="E4" s="20"/>
    </row>
    <row r="5" spans="1:10" ht="12.45">
      <c r="A5" s="20"/>
      <c r="B5" s="20"/>
      <c r="C5" s="20"/>
      <c r="D5" s="20"/>
      <c r="E5" s="20"/>
    </row>
    <row r="6" spans="1:10" ht="12.45">
      <c r="A6" s="389" t="s">
        <v>4259</v>
      </c>
      <c r="B6" s="389"/>
      <c r="C6" s="389"/>
      <c r="D6" s="389"/>
      <c r="E6" s="389"/>
      <c r="F6" s="389"/>
      <c r="G6" s="389"/>
      <c r="H6" s="389"/>
      <c r="I6" s="389"/>
      <c r="J6" s="389"/>
    </row>
    <row r="7" spans="1:10" ht="12.45">
      <c r="A7" s="389" t="s">
        <v>830</v>
      </c>
      <c r="B7" s="389"/>
      <c r="C7" s="389"/>
      <c r="D7" s="389"/>
      <c r="E7" s="389"/>
      <c r="F7" s="389"/>
      <c r="G7" s="389"/>
      <c r="H7" s="389"/>
      <c r="I7" s="389"/>
      <c r="J7" s="389"/>
    </row>
    <row r="8" spans="1:10" ht="12.45">
      <c r="A8" s="197"/>
      <c r="B8" s="22"/>
      <c r="C8" s="197"/>
      <c r="D8" s="197"/>
      <c r="E8" s="197"/>
      <c r="F8" s="197"/>
      <c r="G8" s="197"/>
      <c r="H8" s="197"/>
      <c r="I8" s="197"/>
      <c r="J8" s="197"/>
    </row>
    <row r="9" spans="1:10" ht="12.45">
      <c r="A9" s="20" t="s">
        <v>3802</v>
      </c>
      <c r="B9" s="20"/>
      <c r="C9" s="20"/>
      <c r="D9" s="20"/>
      <c r="E9" s="20"/>
    </row>
    <row r="10" spans="1:10" ht="12.45">
      <c r="A10" s="20" t="s">
        <v>3494</v>
      </c>
      <c r="B10" s="20"/>
      <c r="C10" s="20"/>
      <c r="D10" s="20"/>
      <c r="E10" s="20"/>
    </row>
    <row r="11" spans="1:10" ht="12.45">
      <c r="A11" s="20" t="s">
        <v>831</v>
      </c>
      <c r="B11" s="20"/>
      <c r="C11" s="20"/>
      <c r="D11" s="20"/>
      <c r="E11" s="20"/>
    </row>
    <row r="12" spans="1:10" ht="12.45">
      <c r="A12" s="20"/>
      <c r="B12" s="20"/>
      <c r="C12" s="20"/>
      <c r="D12" s="20"/>
      <c r="E12" s="20"/>
    </row>
    <row r="13" spans="1:10" ht="12.45">
      <c r="A13" s="20" t="s">
        <v>4048</v>
      </c>
      <c r="B13" s="20"/>
      <c r="C13" s="20"/>
      <c r="D13" s="20"/>
      <c r="E13" s="20"/>
    </row>
    <row r="14" spans="1:10" ht="12.45">
      <c r="A14" s="20" t="s">
        <v>832</v>
      </c>
      <c r="B14" s="20"/>
      <c r="C14" s="20"/>
      <c r="D14" s="20"/>
      <c r="E14" s="20"/>
    </row>
    <row r="15" spans="1:10" ht="12.45">
      <c r="A15" s="20"/>
      <c r="B15" s="20"/>
      <c r="C15" s="20"/>
      <c r="D15" s="20"/>
      <c r="E15" s="20"/>
    </row>
    <row r="16" spans="1:10" ht="12.45">
      <c r="A16" s="891" t="s">
        <v>4348</v>
      </c>
      <c r="B16" s="891"/>
      <c r="C16" s="891"/>
      <c r="D16" s="891"/>
      <c r="E16" s="891"/>
      <c r="F16" s="891"/>
      <c r="G16" s="891"/>
      <c r="H16" s="891"/>
      <c r="I16" s="891"/>
      <c r="J16" s="891"/>
    </row>
    <row r="17" spans="1:9" ht="12.45">
      <c r="A17" s="20"/>
      <c r="B17" s="20"/>
      <c r="C17" s="22"/>
      <c r="D17" s="20"/>
      <c r="E17" s="20"/>
    </row>
    <row r="18" spans="1:9" ht="12.75" customHeight="1">
      <c r="A18" s="882" t="s">
        <v>3965</v>
      </c>
      <c r="B18" s="883"/>
      <c r="C18" s="883"/>
      <c r="D18" s="883"/>
      <c r="E18" s="883"/>
      <c r="F18" s="883"/>
      <c r="G18" s="883"/>
      <c r="H18" s="884"/>
      <c r="I18" s="54"/>
    </row>
    <row r="19" spans="1:9" ht="12.75" customHeight="1">
      <c r="A19" s="885"/>
      <c r="B19" s="886"/>
      <c r="C19" s="886"/>
      <c r="D19" s="886"/>
      <c r="E19" s="886"/>
      <c r="F19" s="886"/>
      <c r="G19" s="886"/>
      <c r="H19" s="887"/>
      <c r="I19" s="54"/>
    </row>
    <row r="20" spans="1:9" ht="12.75" customHeight="1">
      <c r="A20" s="885"/>
      <c r="B20" s="886"/>
      <c r="C20" s="886"/>
      <c r="D20" s="886"/>
      <c r="E20" s="886"/>
      <c r="F20" s="886"/>
      <c r="G20" s="886"/>
      <c r="H20" s="887"/>
      <c r="I20" s="54"/>
    </row>
    <row r="21" spans="1:9">
      <c r="A21" s="885"/>
      <c r="B21" s="886"/>
      <c r="C21" s="886"/>
      <c r="D21" s="886"/>
      <c r="E21" s="886"/>
      <c r="F21" s="886"/>
      <c r="G21" s="886"/>
      <c r="H21" s="887"/>
    </row>
    <row r="22" spans="1:9">
      <c r="A22" s="888"/>
      <c r="B22" s="889"/>
      <c r="C22" s="889"/>
      <c r="D22" s="889"/>
      <c r="E22" s="889"/>
      <c r="F22" s="889"/>
      <c r="G22" s="889"/>
      <c r="H22" s="890"/>
    </row>
    <row r="23" spans="1:9" ht="12.45">
      <c r="A23" s="20"/>
      <c r="B23" s="54"/>
      <c r="C23" s="54"/>
      <c r="D23" s="54"/>
      <c r="E23" s="54"/>
      <c r="F23" s="54"/>
      <c r="G23" s="54"/>
      <c r="H23" s="54"/>
      <c r="I23" s="54"/>
    </row>
    <row r="24" spans="1:9" ht="12.45">
      <c r="A24" s="24" t="s">
        <v>661</v>
      </c>
      <c r="B24" s="20"/>
      <c r="C24" s="23"/>
      <c r="D24" s="20"/>
      <c r="E24" s="20"/>
    </row>
    <row r="25" spans="1:9" ht="12.45">
      <c r="A25" s="20"/>
      <c r="B25" s="20"/>
      <c r="C25" s="22"/>
      <c r="D25" s="20"/>
      <c r="E25" s="20"/>
    </row>
    <row r="26" spans="1:9" ht="12.45">
      <c r="A26" s="24" t="s">
        <v>657</v>
      </c>
      <c r="B26" s="20" t="s">
        <v>658</v>
      </c>
    </row>
    <row r="27" spans="1:9" ht="12.45">
      <c r="A27" s="24" t="s">
        <v>305</v>
      </c>
      <c r="B27" s="20" t="s">
        <v>1644</v>
      </c>
    </row>
    <row r="28" spans="1:9" ht="12.45">
      <c r="A28" s="24" t="s">
        <v>655</v>
      </c>
      <c r="B28" s="20" t="s">
        <v>656</v>
      </c>
    </row>
    <row r="29" spans="1:9" ht="12.45">
      <c r="A29" s="24" t="s">
        <v>653</v>
      </c>
      <c r="B29" s="20" t="s">
        <v>654</v>
      </c>
    </row>
    <row r="30" spans="1:9" ht="12.45">
      <c r="A30" s="24" t="s">
        <v>659</v>
      </c>
      <c r="B30" s="20" t="s">
        <v>660</v>
      </c>
    </row>
    <row r="31" spans="1:9" ht="12.45">
      <c r="A31" s="24" t="s">
        <v>651</v>
      </c>
      <c r="B31" s="20" t="s">
        <v>652</v>
      </c>
    </row>
  </sheetData>
  <sheetProtection password="C620" sheet="1"/>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608"/>
  <sheetViews>
    <sheetView workbookViewId="0">
      <pane xSplit="8" ySplit="1" topLeftCell="DT2" activePane="bottomRight" state="frozen"/>
      <selection pane="topRight" activeCell="I1" sqref="I1"/>
      <selection pane="bottomLeft" activeCell="A2" sqref="A2"/>
      <selection pane="bottomRight" activeCell="C1" sqref="C1"/>
    </sheetView>
  </sheetViews>
  <sheetFormatPr defaultColWidth="9.15234375" defaultRowHeight="11.6"/>
  <cols>
    <col min="1" max="2" width="9.15234375" style="211"/>
    <col min="3" max="3" width="29.15234375" style="211" customWidth="1"/>
    <col min="4" max="7" width="9.15234375" style="211"/>
    <col min="8" max="8" width="9.53515625" style="211" customWidth="1"/>
    <col min="9" max="14" width="9.15234375" style="211"/>
    <col min="15" max="15" width="15.15234375" style="211" customWidth="1"/>
    <col min="16" max="16" width="9.15234375" style="211"/>
    <col min="17" max="17" width="24.4609375" style="211" bestFit="1" customWidth="1"/>
    <col min="18" max="22" width="9.15234375" style="211"/>
    <col min="23" max="23" width="13.4609375" style="211" bestFit="1" customWidth="1"/>
    <col min="24" max="26" width="9.15234375" style="211"/>
    <col min="27" max="27" width="19" style="211" bestFit="1" customWidth="1"/>
    <col min="28" max="28" width="14" style="211" bestFit="1" customWidth="1"/>
    <col min="29" max="39" width="9.15234375" style="211"/>
    <col min="40" max="40" width="32.53515625" style="211" customWidth="1"/>
    <col min="41" max="41" width="17.53515625" style="211" customWidth="1"/>
    <col min="42" max="42" width="18.53515625" style="211" customWidth="1"/>
    <col min="43" max="53" width="9.15234375" style="211"/>
    <col min="54" max="54" width="24" style="211" customWidth="1"/>
    <col min="55" max="55" width="9.15234375" style="211"/>
    <col min="56" max="56" width="13.53515625" style="211" customWidth="1"/>
    <col min="57" max="62" width="9.15234375" style="211"/>
    <col min="63" max="63" width="21.53515625" style="211" customWidth="1"/>
    <col min="64" max="16384" width="9.15234375" style="211"/>
  </cols>
  <sheetData>
    <row r="1" spans="1:144" ht="12.45">
      <c r="A1" s="208"/>
      <c r="B1" s="209"/>
      <c r="C1" s="210"/>
      <c r="D1" s="893" t="s">
        <v>2337</v>
      </c>
      <c r="E1" s="894"/>
      <c r="F1" s="894"/>
      <c r="G1" s="74"/>
      <c r="H1" s="211" t="s">
        <v>663</v>
      </c>
      <c r="I1" s="74"/>
      <c r="J1" s="74" t="s">
        <v>2637</v>
      </c>
      <c r="K1" s="74" t="s">
        <v>2638</v>
      </c>
      <c r="L1" s="211" t="s">
        <v>2639</v>
      </c>
      <c r="M1" s="211" t="s">
        <v>2636</v>
      </c>
      <c r="N1" s="211" t="s">
        <v>2640</v>
      </c>
      <c r="O1" s="211" t="s">
        <v>2642</v>
      </c>
      <c r="P1" s="211" t="s">
        <v>2641</v>
      </c>
      <c r="Q1" s="211" t="s">
        <v>2643</v>
      </c>
      <c r="R1" s="211" t="s">
        <v>2644</v>
      </c>
      <c r="S1" s="211" t="s">
        <v>2645</v>
      </c>
      <c r="T1" s="211" t="s">
        <v>2646</v>
      </c>
      <c r="U1" s="211" t="s">
        <v>3062</v>
      </c>
      <c r="V1" s="211" t="s">
        <v>2648</v>
      </c>
      <c r="W1" s="211" t="s">
        <v>2649</v>
      </c>
      <c r="X1" s="211" t="s">
        <v>2650</v>
      </c>
      <c r="Y1" s="211" t="s">
        <v>2651</v>
      </c>
      <c r="Z1" s="209" t="s">
        <v>2652</v>
      </c>
      <c r="AA1" s="209" t="s">
        <v>2653</v>
      </c>
      <c r="AB1" s="211" t="s">
        <v>2654</v>
      </c>
      <c r="AC1" s="211" t="s">
        <v>1685</v>
      </c>
      <c r="AD1" s="211" t="s">
        <v>2655</v>
      </c>
      <c r="AE1" s="211" t="s">
        <v>5397</v>
      </c>
      <c r="AF1" s="211" t="s">
        <v>2656</v>
      </c>
      <c r="AG1" s="211" t="s">
        <v>2657</v>
      </c>
      <c r="AH1" s="211" t="s">
        <v>2658</v>
      </c>
      <c r="AI1" s="211" t="s">
        <v>2659</v>
      </c>
      <c r="AJ1" s="211" t="s">
        <v>2660</v>
      </c>
      <c r="AK1" s="211" t="s">
        <v>2662</v>
      </c>
      <c r="AL1" s="211" t="s">
        <v>2661</v>
      </c>
      <c r="AM1" s="211" t="s">
        <v>2664</v>
      </c>
      <c r="AN1" s="211" t="s">
        <v>591</v>
      </c>
      <c r="AO1" s="211" t="s">
        <v>2666</v>
      </c>
      <c r="AP1" s="211" t="s">
        <v>2667</v>
      </c>
      <c r="AQ1" s="211" t="s">
        <v>2668</v>
      </c>
      <c r="AR1" s="211" t="s">
        <v>2669</v>
      </c>
      <c r="AS1" s="211" t="s">
        <v>2670</v>
      </c>
      <c r="AT1" s="211" t="s">
        <v>2671</v>
      </c>
      <c r="AU1" s="211" t="s">
        <v>5365</v>
      </c>
      <c r="AV1" s="211" t="s">
        <v>2672</v>
      </c>
      <c r="AW1" s="211" t="s">
        <v>2673</v>
      </c>
      <c r="AX1" s="211" t="s">
        <v>2674</v>
      </c>
      <c r="AY1" s="211" t="s">
        <v>2675</v>
      </c>
      <c r="AZ1" s="211" t="s">
        <v>2859</v>
      </c>
      <c r="BA1" s="211" t="s">
        <v>2860</v>
      </c>
      <c r="BB1" s="211" t="s">
        <v>2861</v>
      </c>
      <c r="BC1" s="211" t="s">
        <v>2862</v>
      </c>
      <c r="BD1" s="211" t="s">
        <v>2863</v>
      </c>
      <c r="BE1" s="211" t="s">
        <v>2864</v>
      </c>
      <c r="BF1" s="211" t="s">
        <v>2865</v>
      </c>
      <c r="BG1" s="211" t="s">
        <v>2866</v>
      </c>
      <c r="BH1" s="211" t="s">
        <v>5424</v>
      </c>
      <c r="BI1" s="211" t="s">
        <v>1591</v>
      </c>
      <c r="BJ1" s="211" t="s">
        <v>2869</v>
      </c>
      <c r="BK1" s="211" t="s">
        <v>2870</v>
      </c>
      <c r="BL1" s="211" t="s">
        <v>2871</v>
      </c>
      <c r="BM1" s="211" t="s">
        <v>1592</v>
      </c>
      <c r="BN1" s="211" t="s">
        <v>2873</v>
      </c>
      <c r="BO1" s="211" t="s">
        <v>3433</v>
      </c>
      <c r="BP1" s="211" t="s">
        <v>3435</v>
      </c>
      <c r="BQ1" s="211" t="s">
        <v>3434</v>
      </c>
      <c r="BR1" s="211" t="s">
        <v>3436</v>
      </c>
      <c r="BS1" s="211" t="s">
        <v>3437</v>
      </c>
      <c r="BT1" s="211" t="s">
        <v>3438</v>
      </c>
      <c r="BU1" s="211" t="s">
        <v>3439</v>
      </c>
      <c r="BV1" s="211" t="s">
        <v>1632</v>
      </c>
      <c r="BW1" s="211" t="s">
        <v>3440</v>
      </c>
      <c r="BX1" s="211" t="s">
        <v>3442</v>
      </c>
      <c r="BY1" s="211" t="s">
        <v>3443</v>
      </c>
      <c r="BZ1" s="211" t="s">
        <v>3444</v>
      </c>
      <c r="CA1" s="211" t="s">
        <v>3445</v>
      </c>
      <c r="CB1" s="211" t="s">
        <v>3446</v>
      </c>
      <c r="CC1" s="211" t="s">
        <v>3447</v>
      </c>
      <c r="CD1" s="211" t="s">
        <v>5416</v>
      </c>
      <c r="CE1" s="211" t="s">
        <v>1639</v>
      </c>
      <c r="CF1" s="211" t="s">
        <v>3448</v>
      </c>
      <c r="CG1" s="211" t="s">
        <v>3826</v>
      </c>
      <c r="CH1" s="211" t="s">
        <v>3827</v>
      </c>
      <c r="CI1" s="211" t="s">
        <v>3829</v>
      </c>
      <c r="CJ1" s="211" t="s">
        <v>3830</v>
      </c>
      <c r="CK1" s="211" t="s">
        <v>3831</v>
      </c>
      <c r="CL1" s="211" t="s">
        <v>3832</v>
      </c>
      <c r="CM1" s="211" t="s">
        <v>3833</v>
      </c>
      <c r="CN1" s="211" t="s">
        <v>3834</v>
      </c>
      <c r="CO1" s="211" t="s">
        <v>3835</v>
      </c>
      <c r="CP1" s="211" t="s">
        <v>3836</v>
      </c>
      <c r="CQ1" s="211" t="s">
        <v>3837</v>
      </c>
      <c r="CR1" s="211" t="s">
        <v>3838</v>
      </c>
      <c r="CS1" s="211" t="s">
        <v>3840</v>
      </c>
      <c r="CT1" s="211" t="s">
        <v>3841</v>
      </c>
      <c r="CU1" s="211" t="s">
        <v>2234</v>
      </c>
      <c r="CV1" s="211" t="s">
        <v>3842</v>
      </c>
      <c r="CW1" s="211" t="s">
        <v>3843</v>
      </c>
      <c r="CX1" s="211" t="s">
        <v>3844</v>
      </c>
      <c r="CY1" s="211" t="s">
        <v>3845</v>
      </c>
      <c r="CZ1" s="211" t="s">
        <v>3912</v>
      </c>
      <c r="DA1" s="211" t="s">
        <v>3847</v>
      </c>
      <c r="DB1" s="211" t="s">
        <v>3848</v>
      </c>
      <c r="DC1" s="211" t="s">
        <v>3849</v>
      </c>
      <c r="DD1" s="211" t="s">
        <v>3913</v>
      </c>
      <c r="DE1" s="211" t="s">
        <v>709</v>
      </c>
      <c r="DF1" s="211" t="s">
        <v>708</v>
      </c>
      <c r="DG1" s="211" t="s">
        <v>710</v>
      </c>
      <c r="DH1" s="211" t="s">
        <v>711</v>
      </c>
      <c r="DI1" s="211" t="s">
        <v>712</v>
      </c>
      <c r="DJ1" s="211" t="s">
        <v>713</v>
      </c>
      <c r="DK1" s="211" t="s">
        <v>714</v>
      </c>
      <c r="DL1" s="211" t="s">
        <v>715</v>
      </c>
      <c r="DM1" s="211" t="s">
        <v>716</v>
      </c>
      <c r="DN1" s="211" t="s">
        <v>717</v>
      </c>
      <c r="DO1" s="211" t="s">
        <v>450</v>
      </c>
      <c r="DP1" s="211" t="s">
        <v>718</v>
      </c>
      <c r="DQ1" s="211" t="s">
        <v>719</v>
      </c>
      <c r="DR1" s="211" t="s">
        <v>722</v>
      </c>
      <c r="DS1" s="211" t="s">
        <v>721</v>
      </c>
      <c r="DT1" s="211" t="s">
        <v>723</v>
      </c>
      <c r="DU1" s="211" t="s">
        <v>724</v>
      </c>
      <c r="DV1" s="211" t="s">
        <v>2874</v>
      </c>
      <c r="DW1" s="211" t="s">
        <v>725</v>
      </c>
      <c r="DX1" s="211" t="s">
        <v>726</v>
      </c>
      <c r="DY1" s="211" t="s">
        <v>1394</v>
      </c>
      <c r="DZ1" s="211" t="s">
        <v>728</v>
      </c>
      <c r="EA1" s="211" t="s">
        <v>1395</v>
      </c>
      <c r="EB1" s="211" t="s">
        <v>731</v>
      </c>
      <c r="EC1" s="211" t="s">
        <v>732</v>
      </c>
      <c r="ED1" s="211" t="s">
        <v>729</v>
      </c>
      <c r="EE1" s="211" t="s">
        <v>5324</v>
      </c>
      <c r="EF1" s="211" t="s">
        <v>733</v>
      </c>
      <c r="EG1" s="211" t="s">
        <v>734</v>
      </c>
      <c r="EH1" s="211" t="s">
        <v>735</v>
      </c>
      <c r="EI1" s="211" t="s">
        <v>736</v>
      </c>
      <c r="EJ1" s="211" t="s">
        <v>2663</v>
      </c>
      <c r="EK1" s="211" t="s">
        <v>1418</v>
      </c>
      <c r="EL1" s="211" t="s">
        <v>737</v>
      </c>
      <c r="EM1" s="211" t="s">
        <v>738</v>
      </c>
      <c r="EN1" s="211" t="s">
        <v>1446</v>
      </c>
    </row>
    <row r="2" spans="1:144">
      <c r="A2" s="208"/>
      <c r="D2" s="894"/>
      <c r="E2" s="894"/>
      <c r="F2" s="894"/>
      <c r="G2" s="74"/>
      <c r="H2" s="211" t="s">
        <v>1447</v>
      </c>
      <c r="I2" s="74"/>
      <c r="J2" s="209" t="s">
        <v>2349</v>
      </c>
      <c r="K2" s="209" t="s">
        <v>740</v>
      </c>
      <c r="L2" s="211" t="s">
        <v>2365</v>
      </c>
      <c r="M2" s="211" t="s">
        <v>2089</v>
      </c>
      <c r="N2" s="211" t="s">
        <v>742</v>
      </c>
      <c r="O2" s="211" t="s">
        <v>745</v>
      </c>
      <c r="P2" s="211" t="s">
        <v>322</v>
      </c>
      <c r="Q2" s="211" t="s">
        <v>339</v>
      </c>
      <c r="R2" s="211" t="s">
        <v>758</v>
      </c>
      <c r="S2" s="211" t="s">
        <v>3516</v>
      </c>
      <c r="T2" s="211" t="s">
        <v>3518</v>
      </c>
      <c r="U2" s="211" t="s">
        <v>3521</v>
      </c>
      <c r="V2" s="211" t="s">
        <v>3532</v>
      </c>
      <c r="W2" s="211" t="s">
        <v>3540</v>
      </c>
      <c r="X2" s="211" t="s">
        <v>3548</v>
      </c>
      <c r="Y2" s="211" t="s">
        <v>3553</v>
      </c>
      <c r="Z2" s="211" t="s">
        <v>3559</v>
      </c>
      <c r="AA2" s="211" t="s">
        <v>3563</v>
      </c>
      <c r="AB2" s="211" t="s">
        <v>759</v>
      </c>
      <c r="AC2" s="30" t="s">
        <v>1686</v>
      </c>
      <c r="AD2" s="211" t="s">
        <v>3572</v>
      </c>
      <c r="AE2" s="211" t="s">
        <v>3575</v>
      </c>
      <c r="AF2" s="211" t="s">
        <v>489</v>
      </c>
      <c r="AG2" s="211" t="s">
        <v>3581</v>
      </c>
      <c r="AH2" s="211" t="s">
        <v>2936</v>
      </c>
      <c r="AI2" s="211" t="s">
        <v>2939</v>
      </c>
      <c r="AJ2" s="211" t="s">
        <v>2941</v>
      </c>
      <c r="AK2" s="211" t="s">
        <v>2949</v>
      </c>
      <c r="AL2" s="211" t="s">
        <v>2951</v>
      </c>
      <c r="AM2" s="211" t="s">
        <v>2963</v>
      </c>
      <c r="AN2" s="211" t="s">
        <v>2965</v>
      </c>
      <c r="AO2" s="211" t="s">
        <v>2990</v>
      </c>
      <c r="AP2" s="211" t="s">
        <v>1103</v>
      </c>
      <c r="AQ2" s="211" t="s">
        <v>1121</v>
      </c>
      <c r="AR2" s="211" t="s">
        <v>1126</v>
      </c>
      <c r="AS2" s="211" t="s">
        <v>1129</v>
      </c>
      <c r="AT2" s="211" t="s">
        <v>1132</v>
      </c>
      <c r="AU2" s="211" t="s">
        <v>5366</v>
      </c>
      <c r="AV2" s="211" t="s">
        <v>1138</v>
      </c>
      <c r="AW2" s="211" t="s">
        <v>1158</v>
      </c>
      <c r="AX2" s="211" t="s">
        <v>1165</v>
      </c>
      <c r="AY2" s="211" t="s">
        <v>767</v>
      </c>
      <c r="AZ2" s="211" t="s">
        <v>1168</v>
      </c>
      <c r="BA2" s="211" t="s">
        <v>2875</v>
      </c>
      <c r="BB2" s="211" t="s">
        <v>4672</v>
      </c>
      <c r="BC2" s="211" t="s">
        <v>4127</v>
      </c>
      <c r="BD2" s="211" t="s">
        <v>4141</v>
      </c>
      <c r="BE2" s="211" t="s">
        <v>1586</v>
      </c>
      <c r="BF2" s="211" t="s">
        <v>4020</v>
      </c>
      <c r="BG2" s="211" t="s">
        <v>4032</v>
      </c>
      <c r="BH2" s="211" t="s">
        <v>4682</v>
      </c>
      <c r="BI2" s="211" t="s">
        <v>4043</v>
      </c>
      <c r="BJ2" s="211" t="s">
        <v>4198</v>
      </c>
      <c r="BK2" s="211" t="s">
        <v>1651</v>
      </c>
      <c r="BL2" s="211" t="s">
        <v>4204</v>
      </c>
      <c r="BM2" s="211" t="s">
        <v>4209</v>
      </c>
      <c r="BN2" s="211" t="s">
        <v>773</v>
      </c>
      <c r="BO2" s="211" t="s">
        <v>3358</v>
      </c>
      <c r="BP2" s="211" t="s">
        <v>3362</v>
      </c>
      <c r="BQ2" s="211" t="s">
        <v>3364</v>
      </c>
      <c r="BR2" s="211" t="s">
        <v>3370</v>
      </c>
      <c r="BS2" s="211" t="s">
        <v>775</v>
      </c>
      <c r="BT2" s="211" t="s">
        <v>1630</v>
      </c>
      <c r="BU2" s="211" t="s">
        <v>3381</v>
      </c>
      <c r="BV2" s="211" t="s">
        <v>3385</v>
      </c>
      <c r="BW2" s="211" t="s">
        <v>3387</v>
      </c>
      <c r="BX2" s="211" t="s">
        <v>2791</v>
      </c>
      <c r="BY2" s="211" t="s">
        <v>2794</v>
      </c>
      <c r="BZ2" s="211" t="s">
        <v>2809</v>
      </c>
      <c r="CA2" s="211" t="s">
        <v>2828</v>
      </c>
      <c r="CB2" s="211" t="s">
        <v>2833</v>
      </c>
      <c r="CC2" s="211" t="s">
        <v>2504</v>
      </c>
      <c r="CD2" s="211" t="s">
        <v>569</v>
      </c>
      <c r="CE2" s="211" t="s">
        <v>2542</v>
      </c>
      <c r="CF2" s="211" t="s">
        <v>2511</v>
      </c>
      <c r="CG2" s="211" t="s">
        <v>2537</v>
      </c>
      <c r="CH2" s="211" t="s">
        <v>2540</v>
      </c>
      <c r="CI2" s="211" t="s">
        <v>2566</v>
      </c>
      <c r="CJ2" s="211" t="s">
        <v>2570</v>
      </c>
      <c r="CK2" s="211" t="s">
        <v>2578</v>
      </c>
      <c r="CL2" s="211" t="s">
        <v>2594</v>
      </c>
      <c r="CM2" s="211" t="s">
        <v>2597</v>
      </c>
      <c r="CN2" s="211" t="s">
        <v>2601</v>
      </c>
      <c r="CO2" s="211" t="s">
        <v>2604</v>
      </c>
      <c r="CP2" s="211" t="s">
        <v>2609</v>
      </c>
      <c r="CQ2" s="211" t="s">
        <v>2612</v>
      </c>
      <c r="CR2" s="211" t="s">
        <v>2615</v>
      </c>
      <c r="CS2" s="211" t="s">
        <v>1784</v>
      </c>
      <c r="CT2" s="211" t="s">
        <v>1788</v>
      </c>
      <c r="CU2" s="211" t="s">
        <v>1793</v>
      </c>
      <c r="CV2" s="211" t="s">
        <v>1795</v>
      </c>
      <c r="CW2" s="211" t="s">
        <v>1800</v>
      </c>
      <c r="CX2" s="211" t="s">
        <v>1803</v>
      </c>
      <c r="CY2" s="211" t="s">
        <v>1806</v>
      </c>
      <c r="CZ2" s="211" t="s">
        <v>1809</v>
      </c>
      <c r="DA2" s="211" t="s">
        <v>1819</v>
      </c>
      <c r="DB2" s="211" t="s">
        <v>3918</v>
      </c>
      <c r="DC2" s="211" t="s">
        <v>1832</v>
      </c>
      <c r="DD2" s="211" t="s">
        <v>1837</v>
      </c>
      <c r="DE2" s="211" t="s">
        <v>1838</v>
      </c>
      <c r="DF2" s="211" t="s">
        <v>1839</v>
      </c>
      <c r="DG2" s="211" t="s">
        <v>1841</v>
      </c>
      <c r="DH2" s="211" t="s">
        <v>1844</v>
      </c>
      <c r="DI2" s="211" t="s">
        <v>246</v>
      </c>
      <c r="DJ2" s="211" t="s">
        <v>248</v>
      </c>
      <c r="DK2" s="211" t="s">
        <v>255</v>
      </c>
      <c r="DL2" s="211" t="s">
        <v>259</v>
      </c>
      <c r="DM2" s="211" t="s">
        <v>262</v>
      </c>
      <c r="DN2" s="211" t="s">
        <v>264</v>
      </c>
      <c r="DO2" s="211" t="s">
        <v>451</v>
      </c>
      <c r="DP2" s="211" t="s">
        <v>281</v>
      </c>
      <c r="DQ2" s="211" t="s">
        <v>290</v>
      </c>
      <c r="DR2" s="211" t="s">
        <v>298</v>
      </c>
      <c r="DS2" s="211" t="s">
        <v>788</v>
      </c>
      <c r="DT2" s="211" t="s">
        <v>2139</v>
      </c>
      <c r="DU2" s="211" t="s">
        <v>1390</v>
      </c>
      <c r="DV2" s="211" t="s">
        <v>2150</v>
      </c>
      <c r="DW2" s="211" t="s">
        <v>3274</v>
      </c>
      <c r="DX2" s="211" t="s">
        <v>964</v>
      </c>
      <c r="DY2" s="211" t="s">
        <v>968</v>
      </c>
      <c r="DZ2" s="211" t="s">
        <v>791</v>
      </c>
      <c r="EA2" s="211" t="s">
        <v>1414</v>
      </c>
      <c r="EB2" s="211" t="s">
        <v>996</v>
      </c>
      <c r="EC2" s="211" t="s">
        <v>45</v>
      </c>
      <c r="ED2" s="211" t="s">
        <v>992</v>
      </c>
      <c r="EE2" s="211" t="s">
        <v>5325</v>
      </c>
      <c r="EF2" s="211" t="s">
        <v>63</v>
      </c>
      <c r="EG2" s="211" t="s">
        <v>70</v>
      </c>
      <c r="EH2" s="211" t="s">
        <v>78</v>
      </c>
      <c r="EI2" s="211" t="s">
        <v>76</v>
      </c>
      <c r="EJ2" s="211" t="s">
        <v>2959</v>
      </c>
      <c r="EK2" s="211" t="s">
        <v>4039</v>
      </c>
      <c r="EL2" s="211" t="s">
        <v>484</v>
      </c>
      <c r="EM2" s="211" t="s">
        <v>2631</v>
      </c>
      <c r="EN2" s="211">
        <v>747</v>
      </c>
    </row>
    <row r="3" spans="1:144" s="214" customFormat="1">
      <c r="A3" s="208"/>
      <c r="B3" s="209" t="s">
        <v>2637</v>
      </c>
      <c r="C3" s="211" t="s">
        <v>2349</v>
      </c>
      <c r="D3" s="212">
        <v>7.24</v>
      </c>
      <c r="E3" s="212">
        <v>1.1399999999999999</v>
      </c>
      <c r="F3" s="212" t="s">
        <v>2350</v>
      </c>
      <c r="G3" s="213"/>
      <c r="H3" s="211" t="s">
        <v>1446</v>
      </c>
      <c r="I3" s="213"/>
      <c r="J3" s="74" t="s">
        <v>2351</v>
      </c>
      <c r="K3" s="212" t="s">
        <v>739</v>
      </c>
      <c r="L3" s="211" t="s">
        <v>2367</v>
      </c>
      <c r="M3" s="211" t="s">
        <v>2090</v>
      </c>
      <c r="N3" s="211" t="s">
        <v>741</v>
      </c>
      <c r="O3" s="211" t="s">
        <v>746</v>
      </c>
      <c r="P3" s="211" t="s">
        <v>323</v>
      </c>
      <c r="Q3" s="211" t="s">
        <v>747</v>
      </c>
      <c r="R3" s="211" t="s">
        <v>355</v>
      </c>
      <c r="S3" s="211" t="s">
        <v>3517</v>
      </c>
      <c r="T3" s="211" t="s">
        <v>3519</v>
      </c>
      <c r="U3" s="211" t="s">
        <v>3522</v>
      </c>
      <c r="V3" s="211" t="s">
        <v>3533</v>
      </c>
      <c r="W3" s="211" t="s">
        <v>1679</v>
      </c>
      <c r="X3" s="211" t="s">
        <v>3549</v>
      </c>
      <c r="Y3" s="211" t="s">
        <v>3068</v>
      </c>
      <c r="Z3" s="211" t="s">
        <v>3561</v>
      </c>
      <c r="AA3" s="211" t="s">
        <v>3070</v>
      </c>
      <c r="AB3" s="211" t="s">
        <v>760</v>
      </c>
      <c r="AC3" s="30" t="s">
        <v>1687</v>
      </c>
      <c r="AD3" s="211" t="s">
        <v>3573</v>
      </c>
      <c r="AE3" s="211" t="s">
        <v>5396</v>
      </c>
      <c r="AF3" s="211" t="s">
        <v>3579</v>
      </c>
      <c r="AG3" s="211" t="s">
        <v>2933</v>
      </c>
      <c r="AH3" s="211" t="s">
        <v>2937</v>
      </c>
      <c r="AI3" s="211" t="s">
        <v>2940</v>
      </c>
      <c r="AJ3" s="211" t="s">
        <v>2943</v>
      </c>
      <c r="AK3" s="211" t="s">
        <v>2950</v>
      </c>
      <c r="AL3" s="211" t="s">
        <v>2952</v>
      </c>
      <c r="AM3" s="211" t="s">
        <v>2964</v>
      </c>
      <c r="AN3" s="211" t="s">
        <v>592</v>
      </c>
      <c r="AO3" s="211" t="s">
        <v>2991</v>
      </c>
      <c r="AP3" s="211" t="s">
        <v>1104</v>
      </c>
      <c r="AQ3" s="211" t="s">
        <v>1122</v>
      </c>
      <c r="AR3" s="211" t="s">
        <v>1127</v>
      </c>
      <c r="AS3" s="211" t="s">
        <v>1130</v>
      </c>
      <c r="AT3" s="211" t="s">
        <v>1133</v>
      </c>
      <c r="AU3" s="211" t="s">
        <v>1137</v>
      </c>
      <c r="AV3" s="211" t="s">
        <v>1139</v>
      </c>
      <c r="AW3" s="211" t="s">
        <v>1159</v>
      </c>
      <c r="AX3" s="211" t="s">
        <v>1166</v>
      </c>
      <c r="AY3" s="211" t="s">
        <v>5301</v>
      </c>
      <c r="AZ3" s="211" t="s">
        <v>1169</v>
      </c>
      <c r="BA3" s="211" t="s">
        <v>4105</v>
      </c>
      <c r="BB3" s="211" t="s">
        <v>4675</v>
      </c>
      <c r="BC3" s="211" t="s">
        <v>4128</v>
      </c>
      <c r="BD3" s="211" t="s">
        <v>4142</v>
      </c>
      <c r="BE3" s="211" t="s">
        <v>1587</v>
      </c>
      <c r="BF3" s="211" t="s">
        <v>4021</v>
      </c>
      <c r="BG3" s="211" t="s">
        <v>4033</v>
      </c>
      <c r="BH3" s="211" t="s">
        <v>5425</v>
      </c>
      <c r="BI3" s="211" t="s">
        <v>4044</v>
      </c>
      <c r="BJ3" s="211" t="s">
        <v>4199</v>
      </c>
      <c r="BK3" s="211" t="s">
        <v>4200</v>
      </c>
      <c r="BL3" s="211" t="s">
        <v>4205</v>
      </c>
      <c r="BM3" s="211" t="s">
        <v>4210</v>
      </c>
      <c r="BN3" s="211" t="s">
        <v>3351</v>
      </c>
      <c r="BO3" s="211" t="s">
        <v>3359</v>
      </c>
      <c r="BP3" s="211" t="s">
        <v>3363</v>
      </c>
      <c r="BQ3" s="211" t="s">
        <v>3365</v>
      </c>
      <c r="BR3" s="211" t="s">
        <v>3371</v>
      </c>
      <c r="BS3" s="211" t="s">
        <v>1628</v>
      </c>
      <c r="BT3" s="211" t="s">
        <v>1631</v>
      </c>
      <c r="BU3" s="211" t="s">
        <v>3382</v>
      </c>
      <c r="BV3" s="211" t="s">
        <v>3386</v>
      </c>
      <c r="BW3" s="211" t="s">
        <v>3388</v>
      </c>
      <c r="BX3" s="211" t="s">
        <v>756</v>
      </c>
      <c r="BY3" s="211" t="s">
        <v>2795</v>
      </c>
      <c r="BZ3" s="211" t="s">
        <v>2810</v>
      </c>
      <c r="CA3" s="211" t="s">
        <v>2829</v>
      </c>
      <c r="CB3" s="211" t="s">
        <v>1638</v>
      </c>
      <c r="CC3" s="211" t="s">
        <v>2505</v>
      </c>
      <c r="CD3" s="211" t="s">
        <v>5427</v>
      </c>
      <c r="CE3" s="211" t="s">
        <v>2544</v>
      </c>
      <c r="CF3" s="211" t="s">
        <v>2512</v>
      </c>
      <c r="CG3" s="211" t="s">
        <v>1640</v>
      </c>
      <c r="CH3" s="211" t="s">
        <v>2541</v>
      </c>
      <c r="CI3" s="211" t="s">
        <v>2567</v>
      </c>
      <c r="CJ3" s="211" t="s">
        <v>2571</v>
      </c>
      <c r="CK3" s="211" t="s">
        <v>2579</v>
      </c>
      <c r="CL3" s="211" t="s">
        <v>2595</v>
      </c>
      <c r="CM3" s="211" t="s">
        <v>2598</v>
      </c>
      <c r="CN3" s="211" t="s">
        <v>2602</v>
      </c>
      <c r="CO3" s="211" t="s">
        <v>2605</v>
      </c>
      <c r="CP3" s="211" t="s">
        <v>2610</v>
      </c>
      <c r="CQ3" s="211" t="s">
        <v>2613</v>
      </c>
      <c r="CR3" s="211" t="s">
        <v>2616</v>
      </c>
      <c r="CS3" s="211" t="s">
        <v>1785</v>
      </c>
      <c r="CT3" s="211" t="s">
        <v>1789</v>
      </c>
      <c r="CU3" s="211" t="s">
        <v>3914</v>
      </c>
      <c r="CV3" s="211" t="s">
        <v>3915</v>
      </c>
      <c r="CW3" s="211" t="s">
        <v>1801</v>
      </c>
      <c r="CX3" s="211" t="s">
        <v>1804</v>
      </c>
      <c r="CY3" s="211" t="s">
        <v>1807</v>
      </c>
      <c r="CZ3" s="211" t="s">
        <v>1810</v>
      </c>
      <c r="DA3" s="211" t="s">
        <v>1820</v>
      </c>
      <c r="DB3" s="211" t="s">
        <v>3919</v>
      </c>
      <c r="DC3" s="211" t="s">
        <v>443</v>
      </c>
      <c r="DD3" s="211" t="s">
        <v>1388</v>
      </c>
      <c r="DE3" s="211"/>
      <c r="DF3" s="211" t="s">
        <v>1840</v>
      </c>
      <c r="DG3" s="211" t="s">
        <v>1842</v>
      </c>
      <c r="DH3" s="211" t="s">
        <v>1845</v>
      </c>
      <c r="DI3" s="211" t="s">
        <v>247</v>
      </c>
      <c r="DJ3" s="211" t="s">
        <v>249</v>
      </c>
      <c r="DK3" s="211" t="s">
        <v>256</v>
      </c>
      <c r="DL3" s="211" t="s">
        <v>260</v>
      </c>
      <c r="DM3" s="211" t="s">
        <v>263</v>
      </c>
      <c r="DN3" s="211" t="s">
        <v>786</v>
      </c>
      <c r="DO3" s="211" t="s">
        <v>455</v>
      </c>
      <c r="DP3" s="211" t="s">
        <v>282</v>
      </c>
      <c r="DQ3" s="211" t="s">
        <v>291</v>
      </c>
      <c r="DR3" s="211" t="s">
        <v>299</v>
      </c>
      <c r="DS3" s="211" t="s">
        <v>300</v>
      </c>
      <c r="DT3" s="211" t="s">
        <v>2140</v>
      </c>
      <c r="DU3" s="211" t="s">
        <v>1391</v>
      </c>
      <c r="DV3" s="211" t="s">
        <v>3353</v>
      </c>
      <c r="DW3" s="211" t="s">
        <v>1396</v>
      </c>
      <c r="DX3" s="211" t="s">
        <v>965</v>
      </c>
      <c r="DY3" s="211" t="s">
        <v>969</v>
      </c>
      <c r="DZ3" s="211" t="s">
        <v>980</v>
      </c>
      <c r="EA3" s="211" t="s">
        <v>1415</v>
      </c>
      <c r="EB3" s="211" t="s">
        <v>997</v>
      </c>
      <c r="EC3" s="211" t="s">
        <v>46</v>
      </c>
      <c r="ED3" s="211" t="s">
        <v>52</v>
      </c>
      <c r="EE3" s="211" t="s">
        <v>4640</v>
      </c>
      <c r="EF3" s="211" t="s">
        <v>64</v>
      </c>
      <c r="EG3" s="211" t="s">
        <v>71</v>
      </c>
      <c r="EH3" s="211" t="s">
        <v>79</v>
      </c>
      <c r="EI3" s="211" t="s">
        <v>77</v>
      </c>
      <c r="EJ3" s="211" t="s">
        <v>4102</v>
      </c>
      <c r="EK3" s="211" t="s">
        <v>4040</v>
      </c>
      <c r="EL3" s="211" t="s">
        <v>2624</v>
      </c>
      <c r="EM3" s="211" t="s">
        <v>2632</v>
      </c>
      <c r="EN3" s="211" t="s">
        <v>776</v>
      </c>
    </row>
    <row r="4" spans="1:144">
      <c r="A4" s="208"/>
      <c r="B4" s="209" t="s">
        <v>2637</v>
      </c>
      <c r="C4" s="211" t="s">
        <v>2351</v>
      </c>
      <c r="D4" s="209" t="s">
        <v>1973</v>
      </c>
      <c r="E4" s="212">
        <v>0.91</v>
      </c>
      <c r="F4" s="212" t="s">
        <v>2350</v>
      </c>
      <c r="G4" s="209"/>
      <c r="H4" s="211" t="s">
        <v>2637</v>
      </c>
      <c r="I4" s="209"/>
      <c r="J4" s="209" t="s">
        <v>2352</v>
      </c>
      <c r="K4" s="212" t="s">
        <v>2358</v>
      </c>
      <c r="L4" s="211" t="s">
        <v>2368</v>
      </c>
      <c r="M4" s="211" t="s">
        <v>2091</v>
      </c>
      <c r="N4" s="211" t="s">
        <v>307</v>
      </c>
      <c r="O4" s="211" t="s">
        <v>315</v>
      </c>
      <c r="P4" s="211" t="s">
        <v>325</v>
      </c>
      <c r="Q4" s="211" t="s">
        <v>748</v>
      </c>
      <c r="R4" s="211" t="s">
        <v>1373</v>
      </c>
      <c r="T4" s="211" t="s">
        <v>3520</v>
      </c>
      <c r="U4" s="211" t="s">
        <v>3051</v>
      </c>
      <c r="V4" s="211" t="s">
        <v>3063</v>
      </c>
      <c r="W4" s="211" t="s">
        <v>3541</v>
      </c>
      <c r="X4" s="211" t="s">
        <v>3550</v>
      </c>
      <c r="Y4" s="211" t="s">
        <v>3069</v>
      </c>
      <c r="AA4" s="211" t="s">
        <v>3564</v>
      </c>
      <c r="AC4" s="30" t="s">
        <v>1688</v>
      </c>
      <c r="AD4" s="211" t="s">
        <v>3574</v>
      </c>
      <c r="AE4" s="211" t="s">
        <v>5606</v>
      </c>
      <c r="AF4" s="211" t="s">
        <v>3577</v>
      </c>
      <c r="AG4" s="211" t="s">
        <v>2934</v>
      </c>
      <c r="AH4" s="211" t="s">
        <v>2938</v>
      </c>
      <c r="AJ4" s="211" t="s">
        <v>761</v>
      </c>
      <c r="AL4" s="211" t="s">
        <v>2953</v>
      </c>
      <c r="AN4" s="211" t="s">
        <v>593</v>
      </c>
      <c r="AO4" s="211" t="s">
        <v>2992</v>
      </c>
      <c r="AP4" s="211" t="s">
        <v>1105</v>
      </c>
      <c r="AQ4" s="211" t="s">
        <v>1123</v>
      </c>
      <c r="AR4" s="211" t="s">
        <v>1128</v>
      </c>
      <c r="AT4" s="211" t="s">
        <v>3896</v>
      </c>
      <c r="AU4" s="211" t="s">
        <v>5370</v>
      </c>
      <c r="AV4" s="211" t="s">
        <v>1140</v>
      </c>
      <c r="AW4" s="211" t="s">
        <v>1160</v>
      </c>
      <c r="AY4" s="211" t="s">
        <v>1167</v>
      </c>
      <c r="AZ4" s="211" t="s">
        <v>1170</v>
      </c>
      <c r="BA4" s="211" t="s">
        <v>4106</v>
      </c>
      <c r="BB4" s="211" t="s">
        <v>4120</v>
      </c>
      <c r="BC4" s="211" t="s">
        <v>4129</v>
      </c>
      <c r="BD4" s="211" t="s">
        <v>2897</v>
      </c>
      <c r="BE4" s="211" t="s">
        <v>4154</v>
      </c>
      <c r="BF4" s="211" t="s">
        <v>4022</v>
      </c>
      <c r="BG4" s="211" t="s">
        <v>4034</v>
      </c>
      <c r="BH4" s="211" t="s">
        <v>5581</v>
      </c>
      <c r="BI4" s="211" t="s">
        <v>4045</v>
      </c>
      <c r="BK4" s="211" t="s">
        <v>2793</v>
      </c>
      <c r="BL4" s="211" t="s">
        <v>4206</v>
      </c>
      <c r="BM4" s="211" t="s">
        <v>4211</v>
      </c>
      <c r="BN4" s="211" t="s">
        <v>3352</v>
      </c>
      <c r="BO4" s="211" t="s">
        <v>774</v>
      </c>
      <c r="BQ4" s="211" t="s">
        <v>3366</v>
      </c>
      <c r="BS4" s="211" t="s">
        <v>1629</v>
      </c>
      <c r="BT4" s="211" t="s">
        <v>423</v>
      </c>
      <c r="BU4" s="211" t="s">
        <v>5321</v>
      </c>
      <c r="BW4" s="211" t="s">
        <v>1633</v>
      </c>
      <c r="BX4" s="211" t="s">
        <v>2792</v>
      </c>
      <c r="BY4" s="211" t="s">
        <v>2796</v>
      </c>
      <c r="BZ4" s="211" t="s">
        <v>2811</v>
      </c>
      <c r="CA4" s="211" t="s">
        <v>2830</v>
      </c>
      <c r="CB4" s="211" t="s">
        <v>1637</v>
      </c>
      <c r="CC4" s="211" t="s">
        <v>2506</v>
      </c>
      <c r="CD4" s="211" t="s">
        <v>5417</v>
      </c>
      <c r="CF4" s="211" t="s">
        <v>2513</v>
      </c>
      <c r="CG4" s="211" t="s">
        <v>3906</v>
      </c>
      <c r="CI4" s="211" t="s">
        <v>2568</v>
      </c>
      <c r="CJ4" s="211" t="s">
        <v>2572</v>
      </c>
      <c r="CK4" s="211" t="s">
        <v>2580</v>
      </c>
      <c r="CL4" s="211" t="s">
        <v>2596</v>
      </c>
      <c r="CM4" s="211" t="s">
        <v>2599</v>
      </c>
      <c r="CN4" s="211" t="s">
        <v>2603</v>
      </c>
      <c r="CO4" s="211" t="s">
        <v>2606</v>
      </c>
      <c r="CP4" s="211" t="s">
        <v>442</v>
      </c>
      <c r="CT4" s="211" t="s">
        <v>1790</v>
      </c>
      <c r="CU4" s="211" t="s">
        <v>5618</v>
      </c>
      <c r="CV4" s="211" t="s">
        <v>3916</v>
      </c>
      <c r="CW4" s="211" t="s">
        <v>3917</v>
      </c>
      <c r="CY4" s="211" t="s">
        <v>1808</v>
      </c>
      <c r="CZ4" s="211" t="s">
        <v>1811</v>
      </c>
      <c r="DA4" s="211" t="s">
        <v>1821</v>
      </c>
      <c r="DB4" s="211" t="s">
        <v>3920</v>
      </c>
      <c r="DC4" s="211" t="s">
        <v>1833</v>
      </c>
      <c r="DD4" s="211" t="s">
        <v>1389</v>
      </c>
      <c r="DJ4" s="211" t="s">
        <v>250</v>
      </c>
      <c r="DK4" s="211" t="s">
        <v>257</v>
      </c>
      <c r="DL4" s="211" t="s">
        <v>261</v>
      </c>
      <c r="DN4" s="211" t="s">
        <v>265</v>
      </c>
      <c r="DP4" s="211" t="s">
        <v>283</v>
      </c>
      <c r="DQ4" s="211" t="s">
        <v>292</v>
      </c>
      <c r="DT4" s="211" t="s">
        <v>2141</v>
      </c>
      <c r="DU4" s="211" t="s">
        <v>1392</v>
      </c>
      <c r="DV4" s="211" t="s">
        <v>2151</v>
      </c>
      <c r="DW4" s="211" t="s">
        <v>1397</v>
      </c>
      <c r="DX4" s="211" t="s">
        <v>966</v>
      </c>
      <c r="DY4" s="211" t="s">
        <v>970</v>
      </c>
      <c r="DZ4" s="211" t="s">
        <v>981</v>
      </c>
      <c r="EB4" s="211" t="s">
        <v>998</v>
      </c>
      <c r="EC4" s="211" t="s">
        <v>47</v>
      </c>
      <c r="ED4" s="211" t="s">
        <v>53</v>
      </c>
      <c r="EE4" s="211" t="s">
        <v>470</v>
      </c>
      <c r="EF4" s="211" t="s">
        <v>65</v>
      </c>
      <c r="EG4" s="211" t="s">
        <v>72</v>
      </c>
      <c r="EH4" s="211" t="s">
        <v>80</v>
      </c>
      <c r="EJ4" s="211" t="s">
        <v>4103</v>
      </c>
      <c r="EK4" s="211" t="s">
        <v>94</v>
      </c>
      <c r="EL4" s="211" t="s">
        <v>2625</v>
      </c>
      <c r="EM4" s="211" t="s">
        <v>2633</v>
      </c>
      <c r="EN4" s="211" t="s">
        <v>2095</v>
      </c>
    </row>
    <row r="5" spans="1:144">
      <c r="A5" s="208"/>
      <c r="B5" s="209" t="s">
        <v>2637</v>
      </c>
      <c r="C5" s="211" t="s">
        <v>2352</v>
      </c>
      <c r="D5" s="212">
        <v>7.08</v>
      </c>
      <c r="E5" s="212">
        <v>1.43</v>
      </c>
      <c r="F5" s="212" t="s">
        <v>2353</v>
      </c>
      <c r="G5" s="212"/>
      <c r="H5" s="211" t="s">
        <v>2638</v>
      </c>
      <c r="I5" s="212"/>
      <c r="J5" s="209" t="s">
        <v>2354</v>
      </c>
      <c r="K5" s="212"/>
      <c r="L5" s="211" t="s">
        <v>2369</v>
      </c>
      <c r="M5" s="211" t="s">
        <v>2092</v>
      </c>
      <c r="N5" s="211" t="s">
        <v>309</v>
      </c>
      <c r="O5" s="211" t="s">
        <v>555</v>
      </c>
      <c r="P5" s="211" t="s">
        <v>328</v>
      </c>
      <c r="Q5" s="211" t="s">
        <v>750</v>
      </c>
      <c r="R5" s="211" t="s">
        <v>1374</v>
      </c>
      <c r="U5" s="211" t="s">
        <v>3052</v>
      </c>
      <c r="V5" s="211" t="s">
        <v>3535</v>
      </c>
      <c r="W5" s="211" t="s">
        <v>3542</v>
      </c>
      <c r="X5" s="211" t="s">
        <v>3551</v>
      </c>
      <c r="Y5" s="211" t="s">
        <v>3554</v>
      </c>
      <c r="AA5" s="211" t="s">
        <v>3071</v>
      </c>
      <c r="AC5" s="30" t="s">
        <v>1689</v>
      </c>
      <c r="AE5" s="211" t="s">
        <v>562</v>
      </c>
      <c r="AF5" s="211" t="s">
        <v>3578</v>
      </c>
      <c r="AG5" s="211" t="s">
        <v>2935</v>
      </c>
      <c r="AJ5" s="211" t="s">
        <v>2944</v>
      </c>
      <c r="AL5" s="211" t="s">
        <v>2954</v>
      </c>
      <c r="AN5" s="211" t="s">
        <v>5295</v>
      </c>
      <c r="AO5" s="211" t="s">
        <v>2993</v>
      </c>
      <c r="AP5" s="211" t="s">
        <v>1106</v>
      </c>
      <c r="AT5" s="211" t="s">
        <v>3897</v>
      </c>
      <c r="AV5" s="211" t="s">
        <v>1141</v>
      </c>
      <c r="AW5" s="211" t="s">
        <v>1161</v>
      </c>
      <c r="AZ5" s="211" t="s">
        <v>1171</v>
      </c>
      <c r="BA5" s="211" t="s">
        <v>4107</v>
      </c>
      <c r="BB5" s="211" t="s">
        <v>4121</v>
      </c>
      <c r="BC5" s="211" t="s">
        <v>4130</v>
      </c>
      <c r="BD5" s="211" t="s">
        <v>2898</v>
      </c>
      <c r="BE5" s="211" t="s">
        <v>4155</v>
      </c>
      <c r="BF5" s="211" t="s">
        <v>768</v>
      </c>
      <c r="BG5" s="211" t="s">
        <v>4035</v>
      </c>
      <c r="BH5" s="211" t="s">
        <v>5632</v>
      </c>
      <c r="BI5" s="211" t="s">
        <v>1593</v>
      </c>
      <c r="BK5" s="211" t="s">
        <v>254</v>
      </c>
      <c r="BL5" s="211" t="s">
        <v>4207</v>
      </c>
      <c r="BN5" s="211" t="s">
        <v>662</v>
      </c>
      <c r="BO5" s="211" t="s">
        <v>3360</v>
      </c>
      <c r="BQ5" s="211" t="s">
        <v>3367</v>
      </c>
      <c r="BU5" s="211" t="s">
        <v>5586</v>
      </c>
      <c r="BW5" s="211" t="s">
        <v>1634</v>
      </c>
      <c r="BY5" s="211" t="s">
        <v>2797</v>
      </c>
      <c r="BZ5" s="211" t="s">
        <v>2812</v>
      </c>
      <c r="CA5" s="211" t="s">
        <v>2831</v>
      </c>
      <c r="CC5" s="211" t="s">
        <v>2507</v>
      </c>
      <c r="CD5" s="211" t="s">
        <v>5587</v>
      </c>
      <c r="CF5" s="211" t="s">
        <v>2515</v>
      </c>
      <c r="CG5" s="211" t="s">
        <v>3907</v>
      </c>
      <c r="CJ5" s="211" t="s">
        <v>2573</v>
      </c>
      <c r="CK5" s="211" t="s">
        <v>2581</v>
      </c>
      <c r="CM5" s="211" t="s">
        <v>2600</v>
      </c>
      <c r="CP5" s="211" t="s">
        <v>583</v>
      </c>
      <c r="CT5" s="211" t="s">
        <v>1791</v>
      </c>
      <c r="CU5" s="211" t="s">
        <v>1794</v>
      </c>
      <c r="CZ5" s="211" t="s">
        <v>1812</v>
      </c>
      <c r="DA5" s="211" t="s">
        <v>1822</v>
      </c>
      <c r="DB5" s="211" t="s">
        <v>3921</v>
      </c>
      <c r="DC5" s="211" t="s">
        <v>1834</v>
      </c>
      <c r="DJ5" s="211" t="s">
        <v>251</v>
      </c>
      <c r="DK5" s="211" t="s">
        <v>258</v>
      </c>
      <c r="DN5" s="211" t="s">
        <v>266</v>
      </c>
      <c r="DP5" s="211" t="s">
        <v>284</v>
      </c>
      <c r="DQ5" s="211" t="s">
        <v>293</v>
      </c>
      <c r="DU5" s="211" t="s">
        <v>1393</v>
      </c>
      <c r="DW5" s="211" t="s">
        <v>3275</v>
      </c>
      <c r="DX5" s="211" t="s">
        <v>967</v>
      </c>
      <c r="DY5" s="211" t="s">
        <v>971</v>
      </c>
      <c r="DZ5" s="211" t="s">
        <v>982</v>
      </c>
      <c r="EB5" s="211" t="s">
        <v>999</v>
      </c>
      <c r="EC5" s="211" t="s">
        <v>48</v>
      </c>
      <c r="ED5" s="211" t="s">
        <v>54</v>
      </c>
      <c r="EE5" s="211" t="s">
        <v>5329</v>
      </c>
      <c r="EF5" s="211" t="s">
        <v>66</v>
      </c>
      <c r="EH5" s="211" t="s">
        <v>81</v>
      </c>
      <c r="EJ5" s="211" t="s">
        <v>4115</v>
      </c>
      <c r="EK5" s="211" t="s">
        <v>95</v>
      </c>
      <c r="EL5" s="211" t="s">
        <v>2626</v>
      </c>
      <c r="EM5" s="211" t="s">
        <v>2634</v>
      </c>
      <c r="EN5" s="211" t="s">
        <v>777</v>
      </c>
    </row>
    <row r="6" spans="1:144">
      <c r="A6" s="208"/>
      <c r="B6" s="209" t="s">
        <v>2637</v>
      </c>
      <c r="C6" s="211" t="s">
        <v>2354</v>
      </c>
      <c r="D6" s="212">
        <v>9.1</v>
      </c>
      <c r="E6" s="212">
        <v>1.67</v>
      </c>
      <c r="F6" s="212" t="s">
        <v>2355</v>
      </c>
      <c r="G6" s="209"/>
      <c r="H6" s="211" t="s">
        <v>2639</v>
      </c>
      <c r="I6" s="209"/>
      <c r="J6" s="209"/>
      <c r="K6" s="209"/>
      <c r="L6" s="211" t="s">
        <v>2371</v>
      </c>
      <c r="M6" s="211" t="s">
        <v>2093</v>
      </c>
      <c r="N6" s="211" t="s">
        <v>743</v>
      </c>
      <c r="O6" s="211" t="s">
        <v>559</v>
      </c>
      <c r="P6" s="211" t="s">
        <v>330</v>
      </c>
      <c r="Q6" s="211" t="s">
        <v>749</v>
      </c>
      <c r="R6" s="211" t="s">
        <v>356</v>
      </c>
      <c r="U6" s="211" t="s">
        <v>3523</v>
      </c>
      <c r="W6" s="211" t="s">
        <v>3543</v>
      </c>
      <c r="X6" s="211" t="s">
        <v>3064</v>
      </c>
      <c r="Y6" s="211" t="s">
        <v>3555</v>
      </c>
      <c r="AA6" s="211" t="s">
        <v>3072</v>
      </c>
      <c r="AC6" s="30" t="s">
        <v>1690</v>
      </c>
      <c r="AF6" s="211" t="s">
        <v>3580</v>
      </c>
      <c r="AJ6" s="211" t="s">
        <v>3074</v>
      </c>
      <c r="AL6" s="211" t="s">
        <v>2955</v>
      </c>
      <c r="AN6" s="211" t="s">
        <v>5607</v>
      </c>
      <c r="AO6" s="211" t="s">
        <v>2994</v>
      </c>
      <c r="AP6" s="211" t="s">
        <v>1107</v>
      </c>
      <c r="AV6" s="211" t="s">
        <v>565</v>
      </c>
      <c r="AW6" s="211" t="s">
        <v>1162</v>
      </c>
      <c r="AZ6" s="211" t="s">
        <v>1172</v>
      </c>
      <c r="BA6" s="211" t="s">
        <v>2876</v>
      </c>
      <c r="BB6" s="211" t="s">
        <v>4122</v>
      </c>
      <c r="BC6" s="211" t="s">
        <v>4131</v>
      </c>
      <c r="BD6" s="211" t="s">
        <v>420</v>
      </c>
      <c r="BE6" s="211" t="s">
        <v>4012</v>
      </c>
      <c r="BF6" s="211" t="s">
        <v>4023</v>
      </c>
      <c r="BG6" s="211" t="s">
        <v>4036</v>
      </c>
      <c r="BI6" s="211" t="s">
        <v>1594</v>
      </c>
      <c r="BK6" s="211" t="s">
        <v>2153</v>
      </c>
      <c r="BL6" s="211" t="s">
        <v>5317</v>
      </c>
      <c r="BQ6" s="211" t="s">
        <v>3368</v>
      </c>
      <c r="BU6" s="211" t="s">
        <v>5583</v>
      </c>
      <c r="BW6" s="211" t="s">
        <v>3389</v>
      </c>
      <c r="BY6" s="211" t="s">
        <v>2798</v>
      </c>
      <c r="BZ6" s="211" t="s">
        <v>2813</v>
      </c>
      <c r="CA6" s="211" t="s">
        <v>2832</v>
      </c>
      <c r="CC6" s="211" t="s">
        <v>2508</v>
      </c>
      <c r="CF6" s="211" t="s">
        <v>2516</v>
      </c>
      <c r="CG6" s="211" t="s">
        <v>3908</v>
      </c>
      <c r="CJ6" s="211" t="s">
        <v>2574</v>
      </c>
      <c r="CK6" s="211" t="s">
        <v>2582</v>
      </c>
      <c r="CP6" s="211" t="s">
        <v>4631</v>
      </c>
      <c r="CT6" s="211" t="s">
        <v>1792</v>
      </c>
      <c r="CZ6" s="211" t="s">
        <v>1813</v>
      </c>
      <c r="DA6" s="211" t="s">
        <v>1823</v>
      </c>
      <c r="DB6" s="211" t="s">
        <v>1827</v>
      </c>
      <c r="DC6" s="211" t="s">
        <v>447</v>
      </c>
      <c r="DN6" s="211" t="s">
        <v>267</v>
      </c>
      <c r="DP6" s="211" t="s">
        <v>285</v>
      </c>
      <c r="DQ6" s="211" t="s">
        <v>294</v>
      </c>
      <c r="DU6" s="211" t="s">
        <v>2144</v>
      </c>
      <c r="DW6" s="211" t="s">
        <v>3276</v>
      </c>
      <c r="DY6" s="211" t="s">
        <v>972</v>
      </c>
      <c r="DZ6" s="211" t="s">
        <v>983</v>
      </c>
      <c r="EB6" s="211" t="s">
        <v>1000</v>
      </c>
      <c r="ED6" s="211" t="s">
        <v>55</v>
      </c>
      <c r="EF6" s="211" t="s">
        <v>67</v>
      </c>
      <c r="EJ6" s="211" t="s">
        <v>1416</v>
      </c>
      <c r="EK6" s="211" t="s">
        <v>1336</v>
      </c>
      <c r="EL6" s="211" t="s">
        <v>2627</v>
      </c>
      <c r="EN6" s="211" t="s">
        <v>778</v>
      </c>
    </row>
    <row r="7" spans="1:144">
      <c r="A7" s="208"/>
      <c r="B7" s="209" t="s">
        <v>2638</v>
      </c>
      <c r="C7" s="211" t="s">
        <v>739</v>
      </c>
      <c r="D7" s="212">
        <v>11.55</v>
      </c>
      <c r="E7" s="212">
        <v>1.79</v>
      </c>
      <c r="F7" s="212" t="s">
        <v>2344</v>
      </c>
      <c r="G7" s="209"/>
      <c r="H7" s="211" t="s">
        <v>2636</v>
      </c>
      <c r="I7" s="209"/>
      <c r="J7" s="209"/>
      <c r="K7" s="209"/>
      <c r="L7" s="211" t="s">
        <v>2373</v>
      </c>
      <c r="M7" s="211" t="s">
        <v>2094</v>
      </c>
      <c r="N7" s="211" t="s">
        <v>744</v>
      </c>
      <c r="P7" s="211" t="s">
        <v>331</v>
      </c>
      <c r="Q7" s="211" t="s">
        <v>1654</v>
      </c>
      <c r="R7" s="211" t="s">
        <v>1375</v>
      </c>
      <c r="U7" s="211" t="s">
        <v>561</v>
      </c>
      <c r="W7" s="211" t="s">
        <v>3544</v>
      </c>
      <c r="X7" s="211" t="s">
        <v>3065</v>
      </c>
      <c r="Y7" s="211" t="s">
        <v>3556</v>
      </c>
      <c r="AA7" s="211" t="s">
        <v>3565</v>
      </c>
      <c r="AC7" s="30" t="s">
        <v>1691</v>
      </c>
      <c r="AF7" s="211" t="s">
        <v>485</v>
      </c>
      <c r="AJ7" s="211" t="s">
        <v>3073</v>
      </c>
      <c r="AL7" s="211" t="s">
        <v>2956</v>
      </c>
      <c r="AN7" s="211" t="s">
        <v>2966</v>
      </c>
      <c r="AO7" s="211" t="s">
        <v>2995</v>
      </c>
      <c r="AP7" s="211" t="s">
        <v>1108</v>
      </c>
      <c r="AV7" s="211" t="s">
        <v>763</v>
      </c>
      <c r="AW7" s="211" t="s">
        <v>1163</v>
      </c>
      <c r="AZ7" s="211" t="s">
        <v>1173</v>
      </c>
      <c r="BA7" s="211" t="s">
        <v>4108</v>
      </c>
      <c r="BB7" s="211" t="s">
        <v>4123</v>
      </c>
      <c r="BC7" s="211" t="s">
        <v>4132</v>
      </c>
      <c r="BD7" s="211" t="s">
        <v>4143</v>
      </c>
      <c r="BF7" s="211" t="s">
        <v>4024</v>
      </c>
      <c r="BI7" s="211" t="s">
        <v>4046</v>
      </c>
      <c r="BK7" s="211" t="s">
        <v>2154</v>
      </c>
      <c r="BL7" s="211" t="s">
        <v>5320</v>
      </c>
      <c r="BQ7" s="211" t="s">
        <v>3369</v>
      </c>
      <c r="BU7" s="211" t="s">
        <v>5584</v>
      </c>
      <c r="BW7" s="211" t="s">
        <v>3390</v>
      </c>
      <c r="BY7" s="211" t="s">
        <v>2799</v>
      </c>
      <c r="BZ7" s="211" t="s">
        <v>2814</v>
      </c>
      <c r="CC7" s="211" t="s">
        <v>2509</v>
      </c>
      <c r="CF7" s="211" t="s">
        <v>2517</v>
      </c>
      <c r="CG7" s="211" t="s">
        <v>2538</v>
      </c>
      <c r="CK7" s="211" t="s">
        <v>2583</v>
      </c>
      <c r="CP7" s="211" t="s">
        <v>5597</v>
      </c>
      <c r="CZ7" s="211" t="s">
        <v>1814</v>
      </c>
      <c r="DA7" s="211" t="s">
        <v>1824</v>
      </c>
      <c r="DB7" s="211" t="s">
        <v>1828</v>
      </c>
      <c r="DC7" s="211" t="s">
        <v>446</v>
      </c>
      <c r="DN7" s="211" t="s">
        <v>787</v>
      </c>
      <c r="DP7" s="211" t="s">
        <v>286</v>
      </c>
      <c r="DQ7" s="211" t="s">
        <v>4634</v>
      </c>
      <c r="DW7" s="211" t="s">
        <v>3277</v>
      </c>
      <c r="DY7" s="211" t="s">
        <v>973</v>
      </c>
      <c r="DZ7" s="211" t="s">
        <v>984</v>
      </c>
      <c r="EB7" s="211" t="s">
        <v>1001</v>
      </c>
      <c r="EF7" s="211" t="s">
        <v>68</v>
      </c>
      <c r="EJ7" s="211" t="s">
        <v>1417</v>
      </c>
      <c r="EK7" s="211" t="s">
        <v>1421</v>
      </c>
      <c r="EL7" s="211" t="s">
        <v>2628</v>
      </c>
      <c r="EN7" s="211" t="s">
        <v>797</v>
      </c>
    </row>
    <row r="8" spans="1:144">
      <c r="A8" s="208"/>
      <c r="B8" s="209" t="s">
        <v>2638</v>
      </c>
      <c r="C8" s="211" t="s">
        <v>740</v>
      </c>
      <c r="D8" s="209" t="s">
        <v>1974</v>
      </c>
      <c r="E8" s="212">
        <v>2.4300000000000002</v>
      </c>
      <c r="F8" s="212" t="s">
        <v>2344</v>
      </c>
      <c r="G8" s="209"/>
      <c r="H8" s="211" t="s">
        <v>2640</v>
      </c>
      <c r="I8" s="209"/>
      <c r="K8" s="209"/>
      <c r="L8" s="211" t="s">
        <v>2375</v>
      </c>
      <c r="N8" s="211" t="s">
        <v>1647</v>
      </c>
      <c r="P8" s="211" t="s">
        <v>333</v>
      </c>
      <c r="Q8" s="211" t="s">
        <v>340</v>
      </c>
      <c r="R8" s="211" t="s">
        <v>2960</v>
      </c>
      <c r="U8" s="211" t="s">
        <v>3524</v>
      </c>
      <c r="W8" s="211" t="s">
        <v>3545</v>
      </c>
      <c r="X8" s="211" t="s">
        <v>3552</v>
      </c>
      <c r="Y8" s="211" t="s">
        <v>3557</v>
      </c>
      <c r="AF8" s="211" t="s">
        <v>488</v>
      </c>
      <c r="AJ8" s="211" t="s">
        <v>2945</v>
      </c>
      <c r="AL8" s="211" t="s">
        <v>2957</v>
      </c>
      <c r="AN8" s="211" t="s">
        <v>2967</v>
      </c>
      <c r="AO8" s="211" t="s">
        <v>2996</v>
      </c>
      <c r="AP8" s="211" t="s">
        <v>610</v>
      </c>
      <c r="AV8" s="211" t="s">
        <v>1142</v>
      </c>
      <c r="AW8" s="211" t="s">
        <v>1164</v>
      </c>
      <c r="BA8" s="211" t="s">
        <v>4109</v>
      </c>
      <c r="BB8" s="211" t="s">
        <v>2877</v>
      </c>
      <c r="BC8" s="211" t="s">
        <v>4133</v>
      </c>
      <c r="BD8" s="211" t="s">
        <v>4144</v>
      </c>
      <c r="BF8" s="211" t="s">
        <v>4025</v>
      </c>
      <c r="BI8" s="211" t="s">
        <v>4047</v>
      </c>
      <c r="BK8" s="211" t="s">
        <v>2155</v>
      </c>
      <c r="BL8" s="211" t="s">
        <v>567</v>
      </c>
      <c r="BQ8" s="211" t="s">
        <v>3370</v>
      </c>
      <c r="BW8" s="211" t="s">
        <v>3391</v>
      </c>
      <c r="BY8" s="211" t="s">
        <v>2800</v>
      </c>
      <c r="BZ8" s="211" t="s">
        <v>2815</v>
      </c>
      <c r="CF8" s="211" t="s">
        <v>2518</v>
      </c>
      <c r="CG8" s="211" t="s">
        <v>3909</v>
      </c>
      <c r="CK8" s="211" t="s">
        <v>2584</v>
      </c>
      <c r="DA8" s="211" t="s">
        <v>1825</v>
      </c>
      <c r="DB8" s="211" t="s">
        <v>3922</v>
      </c>
      <c r="DC8" s="211" t="s">
        <v>1386</v>
      </c>
      <c r="DN8" s="211" t="s">
        <v>268</v>
      </c>
      <c r="DW8" s="211" t="s">
        <v>3278</v>
      </c>
      <c r="DY8" s="211" t="s">
        <v>974</v>
      </c>
      <c r="DZ8" s="211" t="s">
        <v>985</v>
      </c>
      <c r="EB8" s="211" t="s">
        <v>1002</v>
      </c>
      <c r="EF8" s="211" t="s">
        <v>69</v>
      </c>
      <c r="EJ8" s="211" t="s">
        <v>4116</v>
      </c>
      <c r="EK8" s="211" t="s">
        <v>1419</v>
      </c>
      <c r="EL8" s="211" t="s">
        <v>2629</v>
      </c>
      <c r="EN8" s="211" t="s">
        <v>2356</v>
      </c>
    </row>
    <row r="9" spans="1:144">
      <c r="A9" s="208"/>
      <c r="B9" s="209" t="s">
        <v>2638</v>
      </c>
      <c r="C9" s="211" t="s">
        <v>2358</v>
      </c>
      <c r="D9" s="212">
        <v>13.03</v>
      </c>
      <c r="E9" s="212">
        <v>2.4500000000000002</v>
      </c>
      <c r="F9" s="212" t="s">
        <v>2359</v>
      </c>
      <c r="G9" s="209"/>
      <c r="H9" s="211" t="s">
        <v>2642</v>
      </c>
      <c r="I9" s="209"/>
      <c r="K9" s="209"/>
      <c r="N9" s="211" t="s">
        <v>1648</v>
      </c>
      <c r="P9" s="211" t="s">
        <v>334</v>
      </c>
      <c r="Q9" s="211" t="s">
        <v>342</v>
      </c>
      <c r="R9" s="211" t="s">
        <v>2961</v>
      </c>
      <c r="U9" s="211" t="s">
        <v>3053</v>
      </c>
      <c r="X9" s="211" t="s">
        <v>3066</v>
      </c>
      <c r="Y9" s="211" t="s">
        <v>3558</v>
      </c>
      <c r="AJ9" s="211" t="s">
        <v>2946</v>
      </c>
      <c r="AN9" s="211" t="s">
        <v>2968</v>
      </c>
      <c r="AO9" s="211" t="s">
        <v>496</v>
      </c>
      <c r="AP9" s="211" t="s">
        <v>611</v>
      </c>
      <c r="AV9" s="211" t="s">
        <v>1143</v>
      </c>
      <c r="BA9" s="211" t="s">
        <v>4110</v>
      </c>
      <c r="BB9" s="211" t="s">
        <v>2878</v>
      </c>
      <c r="BC9" s="211" t="s">
        <v>4134</v>
      </c>
      <c r="BD9" s="211" t="s">
        <v>4145</v>
      </c>
      <c r="BF9" s="211" t="s">
        <v>1588</v>
      </c>
      <c r="BI9" s="211" t="s">
        <v>4329</v>
      </c>
      <c r="BK9" s="211" t="s">
        <v>2156</v>
      </c>
      <c r="BL9" s="211" t="s">
        <v>4662</v>
      </c>
      <c r="BQ9" s="211" t="s">
        <v>3371</v>
      </c>
      <c r="BW9" s="211" t="s">
        <v>3392</v>
      </c>
      <c r="BY9" s="211" t="s">
        <v>2801</v>
      </c>
      <c r="BZ9" s="211" t="s">
        <v>2816</v>
      </c>
      <c r="CF9" s="211" t="s">
        <v>2519</v>
      </c>
      <c r="CG9" s="211" t="s">
        <v>3910</v>
      </c>
      <c r="CK9" s="211" t="s">
        <v>2585</v>
      </c>
      <c r="DA9" s="211" t="s">
        <v>1826</v>
      </c>
      <c r="DB9" s="211" t="s">
        <v>1829</v>
      </c>
      <c r="DC9" s="211" t="s">
        <v>1387</v>
      </c>
      <c r="DN9" s="211" t="s">
        <v>269</v>
      </c>
      <c r="DW9" s="211" t="s">
        <v>3279</v>
      </c>
      <c r="DY9" s="211" t="s">
        <v>975</v>
      </c>
      <c r="DZ9" s="211" t="s">
        <v>793</v>
      </c>
      <c r="EB9" s="211" t="s">
        <v>1003</v>
      </c>
      <c r="EJ9" s="211" t="s">
        <v>4117</v>
      </c>
      <c r="EK9" s="211" t="s">
        <v>1420</v>
      </c>
      <c r="EL9" s="211" t="s">
        <v>2630</v>
      </c>
      <c r="EN9" s="211" t="s">
        <v>2360</v>
      </c>
    </row>
    <row r="10" spans="1:144">
      <c r="A10" s="208"/>
      <c r="B10" s="209" t="s">
        <v>2639</v>
      </c>
      <c r="C10" s="211" t="s">
        <v>2365</v>
      </c>
      <c r="D10" s="212">
        <v>9.16</v>
      </c>
      <c r="E10" s="212">
        <v>1.58</v>
      </c>
      <c r="F10" s="212" t="s">
        <v>2366</v>
      </c>
      <c r="G10" s="209"/>
      <c r="H10" s="211" t="s">
        <v>2641</v>
      </c>
      <c r="I10" s="209"/>
      <c r="K10" s="209"/>
      <c r="N10" s="211" t="s">
        <v>5573</v>
      </c>
      <c r="P10" s="211" t="s">
        <v>335</v>
      </c>
      <c r="Q10" s="211" t="s">
        <v>751</v>
      </c>
      <c r="R10" s="211" t="s">
        <v>1174</v>
      </c>
      <c r="U10" s="211" t="s">
        <v>1673</v>
      </c>
      <c r="X10" s="211" t="s">
        <v>3067</v>
      </c>
      <c r="AJ10" s="211" t="s">
        <v>762</v>
      </c>
      <c r="AN10" s="211" t="s">
        <v>2969</v>
      </c>
      <c r="AO10" s="211" t="s">
        <v>2997</v>
      </c>
      <c r="AP10" s="211" t="s">
        <v>4264</v>
      </c>
      <c r="AV10" s="211" t="s">
        <v>764</v>
      </c>
      <c r="BA10" s="211" t="s">
        <v>4111</v>
      </c>
      <c r="BB10" s="211" t="s">
        <v>404</v>
      </c>
      <c r="BC10" s="211" t="s">
        <v>4135</v>
      </c>
      <c r="BD10" s="211" t="s">
        <v>4146</v>
      </c>
      <c r="BF10" s="211" t="s">
        <v>4026</v>
      </c>
      <c r="BI10" s="211" t="s">
        <v>4330</v>
      </c>
      <c r="BK10" s="211" t="s">
        <v>2157</v>
      </c>
      <c r="BW10" s="211" t="s">
        <v>3393</v>
      </c>
      <c r="BY10" s="211" t="s">
        <v>2802</v>
      </c>
      <c r="BZ10" s="211" t="s">
        <v>2817</v>
      </c>
      <c r="CF10" s="211" t="s">
        <v>2520</v>
      </c>
      <c r="CG10" s="211" t="s">
        <v>3911</v>
      </c>
      <c r="CK10" s="211" t="s">
        <v>2586</v>
      </c>
      <c r="DB10" s="211" t="s">
        <v>1830</v>
      </c>
      <c r="DC10" s="211" t="s">
        <v>1835</v>
      </c>
      <c r="DW10" s="211" t="s">
        <v>1398</v>
      </c>
      <c r="DY10" s="211" t="s">
        <v>976</v>
      </c>
      <c r="DZ10" s="211" t="s">
        <v>794</v>
      </c>
      <c r="EB10" s="211" t="s">
        <v>1004</v>
      </c>
      <c r="EJ10" s="211" t="s">
        <v>4118</v>
      </c>
      <c r="EK10" s="211" t="s">
        <v>1422</v>
      </c>
      <c r="EN10" s="211" t="s">
        <v>2361</v>
      </c>
    </row>
    <row r="11" spans="1:144">
      <c r="A11" s="208"/>
      <c r="B11" s="209" t="s">
        <v>2639</v>
      </c>
      <c r="C11" s="211" t="s">
        <v>2367</v>
      </c>
      <c r="D11" s="212">
        <v>8.5399999999999991</v>
      </c>
      <c r="E11" s="212">
        <v>1.75</v>
      </c>
      <c r="F11" s="212" t="s">
        <v>2353</v>
      </c>
      <c r="G11" s="209"/>
      <c r="H11" s="211" t="s">
        <v>2643</v>
      </c>
      <c r="I11" s="209"/>
      <c r="K11" s="209"/>
      <c r="N11" s="211" t="s">
        <v>5571</v>
      </c>
      <c r="P11" s="211" t="s">
        <v>336</v>
      </c>
      <c r="Q11" s="211" t="s">
        <v>752</v>
      </c>
      <c r="R11" s="211" t="s">
        <v>1175</v>
      </c>
      <c r="U11" s="211" t="s">
        <v>3054</v>
      </c>
      <c r="AN11" s="211" t="s">
        <v>2970</v>
      </c>
      <c r="AO11" s="211" t="s">
        <v>2999</v>
      </c>
      <c r="AP11" s="211" t="s">
        <v>4265</v>
      </c>
      <c r="AV11" s="211" t="s">
        <v>1144</v>
      </c>
      <c r="BA11" s="211" t="s">
        <v>526</v>
      </c>
      <c r="BB11" s="211" t="s">
        <v>408</v>
      </c>
      <c r="BC11" s="211" t="s">
        <v>4136</v>
      </c>
      <c r="BD11" s="211" t="s">
        <v>4147</v>
      </c>
      <c r="BF11" s="211" t="s">
        <v>4027</v>
      </c>
      <c r="BI11" s="211" t="s">
        <v>1595</v>
      </c>
      <c r="BK11" s="211" t="s">
        <v>2158</v>
      </c>
      <c r="BW11" s="211" t="s">
        <v>3394</v>
      </c>
      <c r="BY11" s="211" t="s">
        <v>2803</v>
      </c>
      <c r="BZ11" s="211" t="s">
        <v>1635</v>
      </c>
      <c r="CF11" s="211" t="s">
        <v>2521</v>
      </c>
      <c r="CK11" s="211" t="s">
        <v>2587</v>
      </c>
      <c r="DB11" s="211" t="s">
        <v>3923</v>
      </c>
      <c r="DC11" s="211" t="s">
        <v>449</v>
      </c>
      <c r="DW11" s="211" t="s">
        <v>1399</v>
      </c>
      <c r="DY11" s="211" t="s">
        <v>977</v>
      </c>
      <c r="DZ11" s="211" t="s">
        <v>1412</v>
      </c>
      <c r="EJ11" s="211" t="s">
        <v>3355</v>
      </c>
      <c r="EK11" s="211" t="s">
        <v>1423</v>
      </c>
      <c r="EN11" s="211" t="s">
        <v>2363</v>
      </c>
    </row>
    <row r="12" spans="1:144">
      <c r="A12" s="208"/>
      <c r="B12" s="209" t="s">
        <v>2639</v>
      </c>
      <c r="C12" s="211" t="s">
        <v>2368</v>
      </c>
      <c r="D12" s="212">
        <v>7.77</v>
      </c>
      <c r="E12" s="212">
        <v>1.45</v>
      </c>
      <c r="F12" s="212" t="s">
        <v>2353</v>
      </c>
      <c r="G12" s="209"/>
      <c r="H12" s="211" t="s">
        <v>2644</v>
      </c>
      <c r="I12" s="209"/>
      <c r="K12" s="209"/>
      <c r="N12" s="211" t="s">
        <v>5614</v>
      </c>
      <c r="P12" s="211" t="s">
        <v>337</v>
      </c>
      <c r="Q12" s="211" t="s">
        <v>753</v>
      </c>
      <c r="R12" s="211" t="s">
        <v>1176</v>
      </c>
      <c r="U12" s="211" t="s">
        <v>3525</v>
      </c>
      <c r="AN12" s="211" t="s">
        <v>2971</v>
      </c>
      <c r="AO12" s="211" t="s">
        <v>5620</v>
      </c>
      <c r="AP12" s="211" t="s">
        <v>4266</v>
      </c>
      <c r="AV12" s="211" t="s">
        <v>1145</v>
      </c>
      <c r="BA12" s="211" t="s">
        <v>4112</v>
      </c>
      <c r="BB12" s="211" t="s">
        <v>409</v>
      </c>
      <c r="BC12" s="211" t="s">
        <v>4137</v>
      </c>
      <c r="BD12" s="211" t="s">
        <v>4148</v>
      </c>
      <c r="BF12" s="211" t="s">
        <v>4028</v>
      </c>
      <c r="BI12" s="211" t="s">
        <v>1596</v>
      </c>
      <c r="BK12" s="211" t="s">
        <v>5562</v>
      </c>
      <c r="BW12" s="211" t="s">
        <v>3395</v>
      </c>
      <c r="BZ12" s="211" t="s">
        <v>1636</v>
      </c>
      <c r="CF12" s="211" t="s">
        <v>2522</v>
      </c>
      <c r="CK12" s="211" t="s">
        <v>2588</v>
      </c>
      <c r="DB12" s="211" t="s">
        <v>1831</v>
      </c>
      <c r="DC12" s="211" t="s">
        <v>1836</v>
      </c>
      <c r="DW12" s="211" t="s">
        <v>3280</v>
      </c>
      <c r="DY12" s="211" t="s">
        <v>978</v>
      </c>
      <c r="DZ12" s="211" t="s">
        <v>1413</v>
      </c>
      <c r="EJ12" s="211" t="s">
        <v>3356</v>
      </c>
      <c r="EK12" s="211" t="s">
        <v>1337</v>
      </c>
      <c r="EN12" s="211" t="s">
        <v>2376</v>
      </c>
    </row>
    <row r="13" spans="1:144">
      <c r="A13" s="208"/>
      <c r="B13" s="209" t="s">
        <v>2639</v>
      </c>
      <c r="C13" s="211" t="s">
        <v>2369</v>
      </c>
      <c r="D13" s="212">
        <v>9.8699999999999992</v>
      </c>
      <c r="E13" s="212">
        <v>1.71</v>
      </c>
      <c r="F13" s="212" t="s">
        <v>2370</v>
      </c>
      <c r="G13" s="209"/>
      <c r="H13" s="211" t="s">
        <v>2645</v>
      </c>
      <c r="I13" s="209"/>
      <c r="J13" s="209"/>
      <c r="K13" s="212"/>
      <c r="P13" s="211" t="s">
        <v>338</v>
      </c>
      <c r="Q13" s="211" t="s">
        <v>754</v>
      </c>
      <c r="R13" s="211" t="s">
        <v>1177</v>
      </c>
      <c r="U13" s="211" t="s">
        <v>3526</v>
      </c>
      <c r="AN13" s="211" t="s">
        <v>2972</v>
      </c>
      <c r="AO13" s="211" t="s">
        <v>3001</v>
      </c>
      <c r="AP13" s="211" t="s">
        <v>4267</v>
      </c>
      <c r="AV13" s="211" t="s">
        <v>1146</v>
      </c>
      <c r="BA13" s="211" t="s">
        <v>4113</v>
      </c>
      <c r="BB13" s="211" t="s">
        <v>4620</v>
      </c>
      <c r="BC13" s="211" t="s">
        <v>4138</v>
      </c>
      <c r="BD13" s="211" t="s">
        <v>4149</v>
      </c>
      <c r="BF13" s="211" t="s">
        <v>4029</v>
      </c>
      <c r="BI13" s="211" t="s">
        <v>4678</v>
      </c>
      <c r="BK13" s="211" t="s">
        <v>2159</v>
      </c>
      <c r="BW13" s="211" t="s">
        <v>3396</v>
      </c>
      <c r="BZ13" s="211" t="s">
        <v>2818</v>
      </c>
      <c r="CF13" s="211" t="s">
        <v>2523</v>
      </c>
      <c r="CK13" s="211" t="s">
        <v>2589</v>
      </c>
      <c r="DW13" s="211" t="s">
        <v>3281</v>
      </c>
      <c r="DZ13" s="211" t="s">
        <v>987</v>
      </c>
      <c r="EJ13" s="211" t="s">
        <v>2545</v>
      </c>
      <c r="EK13" s="211" t="s">
        <v>1338</v>
      </c>
      <c r="EN13" s="211" t="s">
        <v>301</v>
      </c>
    </row>
    <row r="14" spans="1:144">
      <c r="A14" s="208"/>
      <c r="B14" s="209" t="s">
        <v>2639</v>
      </c>
      <c r="C14" s="211" t="s">
        <v>2371</v>
      </c>
      <c r="D14" s="212">
        <v>10.83</v>
      </c>
      <c r="E14" s="212">
        <v>1.8</v>
      </c>
      <c r="F14" s="212" t="s">
        <v>2372</v>
      </c>
      <c r="G14" s="212"/>
      <c r="H14" s="211" t="s">
        <v>2646</v>
      </c>
      <c r="I14" s="212"/>
      <c r="J14" s="212"/>
      <c r="K14" s="212"/>
      <c r="Q14" s="211" t="s">
        <v>1653</v>
      </c>
      <c r="R14" s="211" t="s">
        <v>1178</v>
      </c>
      <c r="U14" s="211" t="s">
        <v>3055</v>
      </c>
      <c r="AN14" s="211" t="s">
        <v>2973</v>
      </c>
      <c r="AO14" s="211" t="s">
        <v>3002</v>
      </c>
      <c r="AP14" s="211" t="s">
        <v>1109</v>
      </c>
      <c r="AV14" s="211" t="s">
        <v>1147</v>
      </c>
      <c r="BB14" s="211" t="s">
        <v>4621</v>
      </c>
      <c r="BC14" s="211" t="s">
        <v>4139</v>
      </c>
      <c r="BD14" s="211" t="s">
        <v>2899</v>
      </c>
      <c r="BF14" s="211" t="s">
        <v>1589</v>
      </c>
      <c r="BI14" s="211" t="s">
        <v>5304</v>
      </c>
      <c r="BK14" s="211" t="s">
        <v>2160</v>
      </c>
      <c r="BZ14" s="211" t="s">
        <v>2819</v>
      </c>
      <c r="CF14" s="211" t="s">
        <v>2524</v>
      </c>
      <c r="CK14" s="211" t="s">
        <v>2590</v>
      </c>
      <c r="DW14" s="211" t="s">
        <v>3282</v>
      </c>
      <c r="DZ14" s="211" t="s">
        <v>988</v>
      </c>
      <c r="EJ14" s="211" t="s">
        <v>2546</v>
      </c>
      <c r="EK14" s="211" t="s">
        <v>796</v>
      </c>
      <c r="EN14" s="211" t="s">
        <v>302</v>
      </c>
    </row>
    <row r="15" spans="1:144">
      <c r="A15" s="208"/>
      <c r="B15" s="209" t="s">
        <v>2639</v>
      </c>
      <c r="C15" s="211" t="s">
        <v>2373</v>
      </c>
      <c r="D15" s="209" t="s">
        <v>1975</v>
      </c>
      <c r="E15" s="212">
        <v>1.1599999999999999</v>
      </c>
      <c r="F15" s="212" t="s">
        <v>2374</v>
      </c>
      <c r="G15" s="209"/>
      <c r="H15" s="211" t="s">
        <v>3062</v>
      </c>
      <c r="I15" s="209"/>
      <c r="J15" s="209"/>
      <c r="K15" s="209"/>
      <c r="Q15" s="211" t="s">
        <v>3165</v>
      </c>
      <c r="R15" s="211" t="s">
        <v>1179</v>
      </c>
      <c r="U15" s="211" t="s">
        <v>3056</v>
      </c>
      <c r="AN15" s="211" t="s">
        <v>2974</v>
      </c>
      <c r="AO15" s="211" t="s">
        <v>3003</v>
      </c>
      <c r="AP15" s="211" t="s">
        <v>612</v>
      </c>
      <c r="AV15" s="211" t="s">
        <v>3898</v>
      </c>
      <c r="BB15" s="211" t="s">
        <v>2879</v>
      </c>
      <c r="BC15" s="211" t="s">
        <v>4140</v>
      </c>
      <c r="BD15" s="211" t="s">
        <v>4150</v>
      </c>
      <c r="BF15" s="211" t="s">
        <v>1590</v>
      </c>
      <c r="BI15" s="211" t="s">
        <v>4680</v>
      </c>
      <c r="BK15" s="211" t="s">
        <v>2162</v>
      </c>
      <c r="BZ15" s="211" t="s">
        <v>2820</v>
      </c>
      <c r="CF15" s="211" t="s">
        <v>2525</v>
      </c>
      <c r="DW15" s="211" t="s">
        <v>3283</v>
      </c>
      <c r="DZ15" s="211" t="s">
        <v>989</v>
      </c>
      <c r="EJ15" s="211" t="s">
        <v>1786</v>
      </c>
      <c r="EK15" s="211" t="s">
        <v>1424</v>
      </c>
      <c r="EN15" s="211" t="s">
        <v>303</v>
      </c>
    </row>
    <row r="16" spans="1:144">
      <c r="A16" s="208"/>
      <c r="B16" s="209" t="s">
        <v>2639</v>
      </c>
      <c r="C16" s="211" t="s">
        <v>2375</v>
      </c>
      <c r="D16" s="212">
        <v>7.1</v>
      </c>
      <c r="E16" s="212">
        <v>1.1100000000000001</v>
      </c>
      <c r="F16" s="212" t="s">
        <v>2350</v>
      </c>
      <c r="G16" s="212"/>
      <c r="H16" s="211" t="s">
        <v>2648</v>
      </c>
      <c r="I16" s="212"/>
      <c r="J16" s="212"/>
      <c r="K16" s="212"/>
      <c r="Q16" s="211" t="s">
        <v>3166</v>
      </c>
      <c r="R16" s="211" t="s">
        <v>1180</v>
      </c>
      <c r="U16" s="211" t="s">
        <v>3057</v>
      </c>
      <c r="AN16" s="211" t="s">
        <v>2975</v>
      </c>
      <c r="AO16" s="211" t="s">
        <v>3004</v>
      </c>
      <c r="AP16" s="211" t="s">
        <v>613</v>
      </c>
      <c r="AV16" s="211" t="s">
        <v>3899</v>
      </c>
      <c r="BB16" s="211" t="s">
        <v>2880</v>
      </c>
      <c r="BD16" s="211" t="s">
        <v>1574</v>
      </c>
      <c r="BF16" s="211" t="s">
        <v>4030</v>
      </c>
      <c r="BI16" s="211" t="s">
        <v>5305</v>
      </c>
      <c r="BK16" s="211" t="s">
        <v>2161</v>
      </c>
      <c r="BZ16" s="211" t="s">
        <v>2821</v>
      </c>
      <c r="CF16" s="211" t="s">
        <v>2526</v>
      </c>
      <c r="DW16" s="211" t="s">
        <v>4720</v>
      </c>
      <c r="DZ16" s="211" t="s">
        <v>986</v>
      </c>
      <c r="EJ16" s="211" t="s">
        <v>1787</v>
      </c>
      <c r="EK16" s="211" t="s">
        <v>1426</v>
      </c>
      <c r="EN16" s="211" t="s">
        <v>304</v>
      </c>
    </row>
    <row r="17" spans="1:144">
      <c r="A17" s="208"/>
      <c r="B17" s="209" t="s">
        <v>2636</v>
      </c>
      <c r="C17" s="211" t="s">
        <v>2089</v>
      </c>
      <c r="D17" s="212">
        <v>9.5500000000000007</v>
      </c>
      <c r="E17" s="212">
        <v>1.9</v>
      </c>
      <c r="F17" s="209" t="s">
        <v>2346</v>
      </c>
      <c r="G17" s="209"/>
      <c r="H17" s="211" t="s">
        <v>2649</v>
      </c>
      <c r="I17" s="209"/>
      <c r="J17" s="209"/>
      <c r="Q17" s="211" t="s">
        <v>344</v>
      </c>
      <c r="R17" s="211" t="s">
        <v>1181</v>
      </c>
      <c r="U17" s="211" t="s">
        <v>3528</v>
      </c>
      <c r="AN17" s="211" t="s">
        <v>2976</v>
      </c>
      <c r="AO17" s="211" t="s">
        <v>604</v>
      </c>
      <c r="AP17" s="211" t="s">
        <v>1110</v>
      </c>
      <c r="AV17" s="211" t="s">
        <v>765</v>
      </c>
      <c r="BB17" s="211" t="s">
        <v>5578</v>
      </c>
      <c r="BD17" s="211" t="s">
        <v>4151</v>
      </c>
      <c r="BF17" s="211" t="s">
        <v>4031</v>
      </c>
      <c r="BI17" s="211" t="s">
        <v>4180</v>
      </c>
      <c r="BK17" s="211" t="s">
        <v>5310</v>
      </c>
      <c r="BZ17" s="211" t="s">
        <v>2822</v>
      </c>
      <c r="CF17" s="211" t="s">
        <v>2527</v>
      </c>
      <c r="DW17" s="211" t="s">
        <v>3284</v>
      </c>
      <c r="EJ17" s="211" t="s">
        <v>3968</v>
      </c>
      <c r="EK17" s="211" t="s">
        <v>1425</v>
      </c>
      <c r="EN17" s="211" t="s">
        <v>312</v>
      </c>
    </row>
    <row r="18" spans="1:144">
      <c r="A18" s="208"/>
      <c r="B18" s="209" t="s">
        <v>2636</v>
      </c>
      <c r="C18" s="211" t="s">
        <v>2090</v>
      </c>
      <c r="D18" s="212">
        <v>9.5500000000000007</v>
      </c>
      <c r="E18" s="212">
        <v>1.9</v>
      </c>
      <c r="F18" s="209" t="s">
        <v>2346</v>
      </c>
      <c r="G18" s="212"/>
      <c r="H18" s="211" t="s">
        <v>2650</v>
      </c>
      <c r="I18" s="212"/>
      <c r="J18" s="212"/>
      <c r="Q18" s="211" t="s">
        <v>345</v>
      </c>
      <c r="R18" s="211" t="s">
        <v>1182</v>
      </c>
      <c r="U18" s="211" t="s">
        <v>3058</v>
      </c>
      <c r="AN18" s="211" t="s">
        <v>2977</v>
      </c>
      <c r="AO18" s="211" t="s">
        <v>605</v>
      </c>
      <c r="AP18" s="211" t="s">
        <v>1111</v>
      </c>
      <c r="AV18" s="211" t="s">
        <v>1148</v>
      </c>
      <c r="BB18" s="211" t="s">
        <v>5579</v>
      </c>
      <c r="BD18" s="211" t="s">
        <v>1575</v>
      </c>
      <c r="BF18" s="211" t="s">
        <v>770</v>
      </c>
      <c r="BI18" s="211" t="s">
        <v>4181</v>
      </c>
      <c r="BK18" s="211" t="s">
        <v>5311</v>
      </c>
      <c r="BZ18" s="211" t="s">
        <v>2823</v>
      </c>
      <c r="CF18" s="211" t="s">
        <v>2528</v>
      </c>
      <c r="DW18" s="211" t="s">
        <v>3285</v>
      </c>
      <c r="EJ18" s="211" t="s">
        <v>2148</v>
      </c>
      <c r="EK18" s="211" t="s">
        <v>1427</v>
      </c>
      <c r="EN18" s="211" t="s">
        <v>317</v>
      </c>
    </row>
    <row r="19" spans="1:144">
      <c r="A19" s="208"/>
      <c r="B19" s="209" t="s">
        <v>2636</v>
      </c>
      <c r="C19" s="211" t="s">
        <v>2091</v>
      </c>
      <c r="D19" s="209">
        <v>10.59</v>
      </c>
      <c r="E19" s="209">
        <v>2.1</v>
      </c>
      <c r="F19" s="209" t="s">
        <v>2347</v>
      </c>
      <c r="G19" s="212"/>
      <c r="H19" s="211" t="s">
        <v>2651</v>
      </c>
      <c r="I19" s="212"/>
      <c r="J19" s="212"/>
      <c r="Q19" s="211" t="s">
        <v>3167</v>
      </c>
      <c r="R19" s="211" t="s">
        <v>1183</v>
      </c>
      <c r="U19" s="211" t="s">
        <v>3059</v>
      </c>
      <c r="AN19" s="211" t="s">
        <v>2978</v>
      </c>
      <c r="AO19" s="211" t="s">
        <v>3005</v>
      </c>
      <c r="AP19" s="211" t="s">
        <v>614</v>
      </c>
      <c r="AV19" s="211" t="s">
        <v>1149</v>
      </c>
      <c r="BB19" s="211" t="s">
        <v>2881</v>
      </c>
      <c r="BD19" s="211" t="s">
        <v>1576</v>
      </c>
      <c r="BF19" s="211" t="s">
        <v>769</v>
      </c>
      <c r="BI19" s="211" t="s">
        <v>4182</v>
      </c>
      <c r="BK19" s="211" t="s">
        <v>2163</v>
      </c>
      <c r="BZ19" s="211" t="s">
        <v>2824</v>
      </c>
      <c r="CF19" s="211" t="s">
        <v>2529</v>
      </c>
      <c r="DW19" s="211" t="s">
        <v>1400</v>
      </c>
      <c r="EJ19" s="211" t="s">
        <v>795</v>
      </c>
      <c r="EK19" s="211" t="s">
        <v>1428</v>
      </c>
      <c r="EN19" s="211" t="s">
        <v>318</v>
      </c>
    </row>
    <row r="20" spans="1:144">
      <c r="A20" s="208"/>
      <c r="B20" s="209" t="s">
        <v>2636</v>
      </c>
      <c r="C20" s="211" t="s">
        <v>2092</v>
      </c>
      <c r="D20" s="209" t="s">
        <v>1972</v>
      </c>
      <c r="E20" s="212">
        <v>2.37</v>
      </c>
      <c r="F20" s="212" t="s">
        <v>2345</v>
      </c>
      <c r="G20" s="212"/>
      <c r="H20" s="211" t="s">
        <v>2652</v>
      </c>
      <c r="I20" s="212"/>
      <c r="J20" s="212"/>
      <c r="Q20" s="211" t="s">
        <v>3168</v>
      </c>
      <c r="R20" s="211" t="s">
        <v>1184</v>
      </c>
      <c r="U20" s="211" t="s">
        <v>3531</v>
      </c>
      <c r="AN20" s="211" t="s">
        <v>2979</v>
      </c>
      <c r="AO20" s="30" t="s">
        <v>5608</v>
      </c>
      <c r="AP20" s="211" t="s">
        <v>3894</v>
      </c>
      <c r="AV20" s="211" t="s">
        <v>1150</v>
      </c>
      <c r="BB20" s="211" t="s">
        <v>2882</v>
      </c>
      <c r="BD20" s="211" t="s">
        <v>4152</v>
      </c>
      <c r="BF20" s="211" t="s">
        <v>3398</v>
      </c>
      <c r="BI20" s="211" t="s">
        <v>1597</v>
      </c>
      <c r="BK20" s="211" t="s">
        <v>1608</v>
      </c>
      <c r="BZ20" s="211" t="s">
        <v>2825</v>
      </c>
      <c r="CF20" s="211" t="s">
        <v>2530</v>
      </c>
      <c r="DW20" s="211" t="s">
        <v>1401</v>
      </c>
      <c r="EJ20" s="211" t="s">
        <v>75</v>
      </c>
      <c r="EK20" s="211" t="s">
        <v>1429</v>
      </c>
      <c r="EN20" s="211" t="s">
        <v>504</v>
      </c>
    </row>
    <row r="21" spans="1:144">
      <c r="A21" s="208"/>
      <c r="B21" s="209" t="s">
        <v>2636</v>
      </c>
      <c r="C21" s="211" t="s">
        <v>2093</v>
      </c>
      <c r="D21" s="209" t="s">
        <v>1972</v>
      </c>
      <c r="E21" s="212">
        <v>2.48</v>
      </c>
      <c r="F21" s="209" t="s">
        <v>2348</v>
      </c>
      <c r="G21" s="209"/>
      <c r="H21" s="211" t="s">
        <v>2653</v>
      </c>
      <c r="I21" s="209"/>
      <c r="J21" s="209"/>
      <c r="Q21" s="211" t="s">
        <v>346</v>
      </c>
      <c r="R21" s="211" t="s">
        <v>1185</v>
      </c>
      <c r="U21" s="211" t="s">
        <v>3060</v>
      </c>
      <c r="AN21" s="211" t="s">
        <v>594</v>
      </c>
      <c r="AO21" s="211" t="s">
        <v>606</v>
      </c>
      <c r="AP21" s="211" t="s">
        <v>1112</v>
      </c>
      <c r="AV21" s="211" t="s">
        <v>766</v>
      </c>
      <c r="BB21" s="211" t="s">
        <v>2883</v>
      </c>
      <c r="BD21" s="211" t="s">
        <v>1577</v>
      </c>
      <c r="BI21" s="211" t="s">
        <v>1598</v>
      </c>
      <c r="BK21" s="211" t="s">
        <v>456</v>
      </c>
      <c r="DW21" s="211" t="s">
        <v>5646</v>
      </c>
      <c r="EK21" s="211" t="s">
        <v>1430</v>
      </c>
      <c r="EN21" s="211" t="s">
        <v>320</v>
      </c>
    </row>
    <row r="22" spans="1:144">
      <c r="A22" s="208"/>
      <c r="B22" s="209" t="s">
        <v>2636</v>
      </c>
      <c r="C22" s="211" t="s">
        <v>2094</v>
      </c>
      <c r="D22" s="212">
        <v>10.34</v>
      </c>
      <c r="E22" s="212">
        <v>2.5</v>
      </c>
      <c r="F22" s="209" t="s">
        <v>314</v>
      </c>
      <c r="G22" s="209"/>
      <c r="H22" s="211" t="s">
        <v>2654</v>
      </c>
      <c r="I22" s="209"/>
      <c r="J22" s="209"/>
      <c r="Q22" s="211" t="s">
        <v>3169</v>
      </c>
      <c r="R22" s="211" t="s">
        <v>1186</v>
      </c>
      <c r="U22" s="211" t="s">
        <v>3061</v>
      </c>
      <c r="AN22" s="211" t="s">
        <v>595</v>
      </c>
      <c r="AO22" s="211" t="s">
        <v>607</v>
      </c>
      <c r="AP22" s="211" t="s">
        <v>1114</v>
      </c>
      <c r="AV22" s="211" t="s">
        <v>1151</v>
      </c>
      <c r="BB22" s="211" t="s">
        <v>5610</v>
      </c>
      <c r="BD22" s="211" t="s">
        <v>1578</v>
      </c>
      <c r="BI22" s="211" t="s">
        <v>4184</v>
      </c>
      <c r="BK22" s="211" t="s">
        <v>586</v>
      </c>
      <c r="DW22" s="211" t="s">
        <v>3286</v>
      </c>
      <c r="EK22" s="211" t="s">
        <v>1339</v>
      </c>
      <c r="EN22" s="211" t="s">
        <v>1666</v>
      </c>
    </row>
    <row r="23" spans="1:144">
      <c r="A23" s="208"/>
      <c r="B23" s="209" t="s">
        <v>2640</v>
      </c>
      <c r="C23" s="211" t="s">
        <v>741</v>
      </c>
      <c r="D23" s="212">
        <v>10.4</v>
      </c>
      <c r="E23" s="209">
        <v>1.95</v>
      </c>
      <c r="F23" s="209" t="s">
        <v>2346</v>
      </c>
      <c r="G23" s="209"/>
      <c r="H23" s="211" t="s">
        <v>1692</v>
      </c>
      <c r="I23" s="209"/>
      <c r="J23" s="209"/>
      <c r="Q23" s="211" t="s">
        <v>3170</v>
      </c>
      <c r="R23" s="211" t="s">
        <v>1187</v>
      </c>
      <c r="AN23" s="211" t="s">
        <v>576</v>
      </c>
      <c r="AO23" s="211" t="s">
        <v>3006</v>
      </c>
      <c r="AP23" s="211" t="s">
        <v>1115</v>
      </c>
      <c r="AV23" s="211" t="s">
        <v>1152</v>
      </c>
      <c r="BB23" s="211" t="s">
        <v>2884</v>
      </c>
      <c r="BD23" s="211" t="s">
        <v>4153</v>
      </c>
      <c r="BI23" s="211" t="s">
        <v>4183</v>
      </c>
      <c r="BK23" s="211" t="s">
        <v>2164</v>
      </c>
      <c r="DW23" s="211" t="s">
        <v>3287</v>
      </c>
      <c r="EK23" s="211" t="s">
        <v>5404</v>
      </c>
      <c r="EN23" s="211" t="s">
        <v>357</v>
      </c>
    </row>
    <row r="24" spans="1:144">
      <c r="A24" s="208"/>
      <c r="B24" s="209" t="s">
        <v>2640</v>
      </c>
      <c r="C24" s="211" t="s">
        <v>742</v>
      </c>
      <c r="D24" s="212">
        <v>10.4</v>
      </c>
      <c r="E24" s="209">
        <v>2.23</v>
      </c>
      <c r="F24" s="209" t="s">
        <v>2346</v>
      </c>
      <c r="G24" s="209"/>
      <c r="H24" s="211" t="s">
        <v>2655</v>
      </c>
      <c r="I24" s="209"/>
      <c r="J24" s="209"/>
      <c r="Q24" s="211" t="s">
        <v>347</v>
      </c>
      <c r="R24" s="211" t="s">
        <v>1188</v>
      </c>
      <c r="AN24" s="211" t="s">
        <v>5627</v>
      </c>
      <c r="AO24" s="211" t="s">
        <v>3007</v>
      </c>
      <c r="AP24" s="211" t="s">
        <v>5625</v>
      </c>
      <c r="AV24" s="211" t="s">
        <v>1153</v>
      </c>
      <c r="BB24" s="211" t="s">
        <v>2885</v>
      </c>
      <c r="BD24" s="17" t="s">
        <v>5636</v>
      </c>
      <c r="BI24" s="211" t="s">
        <v>1599</v>
      </c>
      <c r="BK24" s="211" t="s">
        <v>460</v>
      </c>
      <c r="DW24" s="211" t="s">
        <v>5629</v>
      </c>
      <c r="EK24" s="211" t="s">
        <v>5402</v>
      </c>
      <c r="EN24" s="211" t="s">
        <v>3506</v>
      </c>
    </row>
    <row r="25" spans="1:144">
      <c r="A25" s="208"/>
      <c r="B25" s="209" t="s">
        <v>2640</v>
      </c>
      <c r="C25" s="211" t="s">
        <v>307</v>
      </c>
      <c r="D25" s="212">
        <v>10.8</v>
      </c>
      <c r="E25" s="212">
        <v>1.8</v>
      </c>
      <c r="F25" s="212" t="s">
        <v>308</v>
      </c>
      <c r="G25" s="209"/>
      <c r="H25" s="211" t="s">
        <v>5397</v>
      </c>
      <c r="I25" s="209"/>
      <c r="J25" s="209"/>
      <c r="Q25" s="211" t="s">
        <v>348</v>
      </c>
      <c r="R25" s="211" t="s">
        <v>1189</v>
      </c>
      <c r="AN25" s="211" t="s">
        <v>596</v>
      </c>
      <c r="AO25" s="211" t="s">
        <v>3008</v>
      </c>
      <c r="AP25" s="211" t="s">
        <v>5626</v>
      </c>
      <c r="AV25" s="211" t="s">
        <v>1154</v>
      </c>
      <c r="BB25" s="211" t="s">
        <v>2886</v>
      </c>
      <c r="BD25" s="211" t="s">
        <v>5635</v>
      </c>
      <c r="BI25" s="211" t="s">
        <v>1600</v>
      </c>
      <c r="BK25" s="211" t="s">
        <v>2165</v>
      </c>
      <c r="DW25" s="211" t="s">
        <v>789</v>
      </c>
      <c r="EK25" s="211" t="s">
        <v>5403</v>
      </c>
      <c r="EN25" s="211" t="s">
        <v>3507</v>
      </c>
    </row>
    <row r="26" spans="1:144">
      <c r="A26" s="208"/>
      <c r="B26" s="209" t="s">
        <v>2640</v>
      </c>
      <c r="C26" s="211" t="s">
        <v>309</v>
      </c>
      <c r="D26" s="212">
        <v>11.1</v>
      </c>
      <c r="E26" s="212">
        <v>2</v>
      </c>
      <c r="F26" s="212" t="s">
        <v>310</v>
      </c>
      <c r="G26" s="209"/>
      <c r="H26" s="211" t="s">
        <v>2656</v>
      </c>
      <c r="I26" s="209"/>
      <c r="J26" s="209"/>
      <c r="Q26" s="211" t="s">
        <v>1655</v>
      </c>
      <c r="R26" s="211" t="s">
        <v>1190</v>
      </c>
      <c r="AN26" s="211" t="s">
        <v>597</v>
      </c>
      <c r="AO26" s="211" t="s">
        <v>578</v>
      </c>
      <c r="AP26" s="211" t="s">
        <v>1116</v>
      </c>
      <c r="AV26" s="211" t="s">
        <v>1155</v>
      </c>
      <c r="BB26" s="211" t="s">
        <v>2884</v>
      </c>
      <c r="BD26" s="211" t="s">
        <v>1579</v>
      </c>
      <c r="BI26" s="211" t="s">
        <v>1601</v>
      </c>
      <c r="BK26" s="211" t="s">
        <v>2166</v>
      </c>
      <c r="DW26" s="211" t="s">
        <v>1403</v>
      </c>
      <c r="EK26" s="211" t="s">
        <v>5590</v>
      </c>
      <c r="EN26" s="211" t="s">
        <v>3509</v>
      </c>
    </row>
    <row r="27" spans="1:144">
      <c r="A27" s="208"/>
      <c r="B27" s="209" t="s">
        <v>2640</v>
      </c>
      <c r="C27" s="211" t="s">
        <v>744</v>
      </c>
      <c r="D27" s="212">
        <v>11.98</v>
      </c>
      <c r="E27" s="212">
        <v>2.1</v>
      </c>
      <c r="F27" s="209" t="s">
        <v>2359</v>
      </c>
      <c r="G27" s="209"/>
      <c r="H27" s="211" t="s">
        <v>2657</v>
      </c>
      <c r="I27" s="209"/>
      <c r="J27" s="209"/>
      <c r="Q27" s="211" t="s">
        <v>349</v>
      </c>
      <c r="R27" s="211" t="s">
        <v>517</v>
      </c>
      <c r="AN27" s="211" t="s">
        <v>2981</v>
      </c>
      <c r="AO27" s="211" t="s">
        <v>5298</v>
      </c>
      <c r="AP27" s="211" t="s">
        <v>499</v>
      </c>
      <c r="AV27" s="211" t="s">
        <v>1156</v>
      </c>
      <c r="BB27" s="211" t="s">
        <v>2887</v>
      </c>
      <c r="BD27" s="211" t="s">
        <v>1580</v>
      </c>
      <c r="BI27" s="211" t="s">
        <v>1602</v>
      </c>
      <c r="BK27" s="211" t="s">
        <v>3970</v>
      </c>
      <c r="DW27" s="211" t="s">
        <v>949</v>
      </c>
      <c r="EK27" s="211" t="s">
        <v>5591</v>
      </c>
      <c r="EN27" s="211" t="s">
        <v>3511</v>
      </c>
    </row>
    <row r="28" spans="1:144">
      <c r="A28" s="208"/>
      <c r="B28" s="209" t="s">
        <v>2640</v>
      </c>
      <c r="C28" s="211" t="s">
        <v>743</v>
      </c>
      <c r="D28" s="212">
        <v>11.98</v>
      </c>
      <c r="E28" s="212">
        <v>2.25</v>
      </c>
      <c r="F28" s="212" t="s">
        <v>2359</v>
      </c>
      <c r="G28" s="212"/>
      <c r="H28" s="211" t="s">
        <v>2658</v>
      </c>
      <c r="I28" s="212"/>
      <c r="J28" s="212"/>
      <c r="Q28" s="211" t="s">
        <v>350</v>
      </c>
      <c r="R28" s="211" t="s">
        <v>1376</v>
      </c>
      <c r="AN28" s="211" t="s">
        <v>598</v>
      </c>
      <c r="AO28" s="211" t="s">
        <v>5300</v>
      </c>
      <c r="AP28" s="211" t="s">
        <v>501</v>
      </c>
      <c r="AV28" s="211" t="s">
        <v>5574</v>
      </c>
      <c r="BB28" s="211" t="s">
        <v>5390</v>
      </c>
      <c r="BD28" s="211" t="s">
        <v>1581</v>
      </c>
      <c r="BI28" s="211" t="s">
        <v>771</v>
      </c>
      <c r="BK28" s="211" t="s">
        <v>3971</v>
      </c>
      <c r="DW28" s="211" t="s">
        <v>948</v>
      </c>
      <c r="EK28" s="211" t="s">
        <v>5405</v>
      </c>
      <c r="EN28" s="211" t="s">
        <v>3512</v>
      </c>
    </row>
    <row r="29" spans="1:144">
      <c r="A29" s="208"/>
      <c r="B29" s="209" t="s">
        <v>2640</v>
      </c>
      <c r="C29" s="211" t="s">
        <v>1647</v>
      </c>
      <c r="D29" s="209" t="s">
        <v>1649</v>
      </c>
      <c r="E29" s="209" t="s">
        <v>1650</v>
      </c>
      <c r="F29" s="209" t="s">
        <v>316</v>
      </c>
      <c r="G29" s="212"/>
      <c r="H29" s="211" t="s">
        <v>2659</v>
      </c>
      <c r="I29" s="212"/>
      <c r="J29" s="212"/>
      <c r="Q29" s="211" t="s">
        <v>351</v>
      </c>
      <c r="R29" s="211" t="s">
        <v>1191</v>
      </c>
      <c r="AN29" s="211" t="s">
        <v>599</v>
      </c>
      <c r="AO29" s="211" t="s">
        <v>3009</v>
      </c>
      <c r="AP29" s="211" t="s">
        <v>500</v>
      </c>
      <c r="BB29" s="211" t="s">
        <v>5387</v>
      </c>
      <c r="BD29" s="211" t="s">
        <v>1582</v>
      </c>
      <c r="BI29" s="211" t="s">
        <v>772</v>
      </c>
      <c r="BK29" s="211" t="s">
        <v>3972</v>
      </c>
      <c r="DW29" s="211" t="s">
        <v>1404</v>
      </c>
      <c r="EK29" s="211" t="s">
        <v>5637</v>
      </c>
      <c r="EN29" s="211" t="s">
        <v>3513</v>
      </c>
    </row>
    <row r="30" spans="1:144">
      <c r="A30" s="208"/>
      <c r="B30" s="209" t="s">
        <v>2640</v>
      </c>
      <c r="C30" s="211" t="s">
        <v>1648</v>
      </c>
      <c r="D30" s="209" t="s">
        <v>1649</v>
      </c>
      <c r="E30" s="209" t="s">
        <v>1650</v>
      </c>
      <c r="F30" s="209" t="s">
        <v>316</v>
      </c>
      <c r="G30" s="209"/>
      <c r="H30" s="211" t="s">
        <v>2660</v>
      </c>
      <c r="I30" s="209"/>
      <c r="J30" s="209"/>
      <c r="K30" s="209"/>
      <c r="Q30" s="211" t="s">
        <v>3171</v>
      </c>
      <c r="R30" s="211" t="s">
        <v>511</v>
      </c>
      <c r="AN30" s="211" t="s">
        <v>600</v>
      </c>
      <c r="AO30" s="211" t="s">
        <v>3010</v>
      </c>
      <c r="AP30" s="211" t="s">
        <v>3895</v>
      </c>
      <c r="BB30" s="211" t="s">
        <v>5388</v>
      </c>
      <c r="BD30" s="211" t="s">
        <v>1583</v>
      </c>
      <c r="BI30" s="211" t="s">
        <v>4185</v>
      </c>
      <c r="BK30" s="211" t="s">
        <v>3973</v>
      </c>
      <c r="DW30" s="211" t="s">
        <v>1402</v>
      </c>
      <c r="EK30" s="211" t="s">
        <v>5406</v>
      </c>
      <c r="EN30" s="211" t="s">
        <v>3514</v>
      </c>
    </row>
    <row r="31" spans="1:144">
      <c r="A31" s="208"/>
      <c r="B31" s="209" t="s">
        <v>2640</v>
      </c>
      <c r="C31" s="211" t="s">
        <v>5573</v>
      </c>
      <c r="D31" s="212">
        <v>13.15</v>
      </c>
      <c r="E31" s="212">
        <v>2.5</v>
      </c>
      <c r="F31" s="209" t="s">
        <v>311</v>
      </c>
      <c r="G31" s="209"/>
      <c r="H31" s="211" t="s">
        <v>2662</v>
      </c>
      <c r="I31" s="209"/>
      <c r="J31" s="209"/>
      <c r="K31" s="209"/>
      <c r="Q31" s="211" t="s">
        <v>3172</v>
      </c>
      <c r="R31" s="211" t="s">
        <v>1192</v>
      </c>
      <c r="AN31" s="211" t="s">
        <v>601</v>
      </c>
      <c r="AO31" s="211" t="s">
        <v>3011</v>
      </c>
      <c r="AP31" s="211" t="s">
        <v>5565</v>
      </c>
      <c r="BB31" s="211" t="s">
        <v>5391</v>
      </c>
      <c r="BD31" s="211" t="s">
        <v>1584</v>
      </c>
      <c r="BI31" s="211" t="s">
        <v>4186</v>
      </c>
      <c r="BK31" s="211" t="s">
        <v>3974</v>
      </c>
      <c r="DW31" s="211" t="s">
        <v>1405</v>
      </c>
      <c r="EK31" s="211" t="s">
        <v>5413</v>
      </c>
      <c r="EN31" s="211" t="s">
        <v>571</v>
      </c>
    </row>
    <row r="32" spans="1:144">
      <c r="A32" s="208"/>
      <c r="B32" s="209" t="s">
        <v>2640</v>
      </c>
      <c r="C32" s="211" t="s">
        <v>5571</v>
      </c>
      <c r="D32" s="212" t="s">
        <v>5572</v>
      </c>
      <c r="E32" s="212" t="s">
        <v>1658</v>
      </c>
      <c r="F32" s="209" t="s">
        <v>5467</v>
      </c>
      <c r="G32" s="209"/>
      <c r="H32" s="211" t="s">
        <v>2661</v>
      </c>
      <c r="I32" s="209"/>
      <c r="J32" s="209"/>
      <c r="K32" s="209"/>
      <c r="Q32" s="211" t="s">
        <v>352</v>
      </c>
      <c r="R32" s="211" t="s">
        <v>1193</v>
      </c>
      <c r="AN32" s="211" t="s">
        <v>602</v>
      </c>
      <c r="AO32" s="211" t="s">
        <v>609</v>
      </c>
      <c r="BB32" s="211" t="s">
        <v>5389</v>
      </c>
      <c r="BD32" s="211" t="s">
        <v>1585</v>
      </c>
      <c r="BI32" s="211" t="s">
        <v>4187</v>
      </c>
      <c r="BK32" s="211" t="s">
        <v>3975</v>
      </c>
      <c r="DW32" s="211" t="s">
        <v>1406</v>
      </c>
      <c r="EK32" s="211" t="s">
        <v>1431</v>
      </c>
      <c r="EN32" s="211" t="s">
        <v>1669</v>
      </c>
    </row>
    <row r="33" spans="1:144">
      <c r="A33" s="208"/>
      <c r="B33" s="209" t="s">
        <v>2640</v>
      </c>
      <c r="C33" s="211" t="s">
        <v>5614</v>
      </c>
      <c r="D33" s="212" t="s">
        <v>5572</v>
      </c>
      <c r="E33" s="212" t="s">
        <v>413</v>
      </c>
      <c r="F33" s="209" t="s">
        <v>5467</v>
      </c>
      <c r="G33" s="209"/>
      <c r="H33" s="211" t="s">
        <v>2664</v>
      </c>
      <c r="I33" s="209"/>
      <c r="J33" s="209"/>
      <c r="K33" s="209"/>
      <c r="Q33" s="211" t="s">
        <v>3173</v>
      </c>
      <c r="R33" s="211" t="s">
        <v>1194</v>
      </c>
      <c r="AN33" s="211" t="s">
        <v>2982</v>
      </c>
      <c r="AO33" s="211" t="s">
        <v>608</v>
      </c>
      <c r="BB33" s="211" t="s">
        <v>5392</v>
      </c>
      <c r="BD33" s="211" t="s">
        <v>5603</v>
      </c>
      <c r="BI33" s="211" t="s">
        <v>4188</v>
      </c>
      <c r="BK33" s="211" t="s">
        <v>3976</v>
      </c>
      <c r="DW33" s="211" t="s">
        <v>1407</v>
      </c>
      <c r="EK33" s="211" t="s">
        <v>1432</v>
      </c>
      <c r="EN33" s="211" t="s">
        <v>1670</v>
      </c>
    </row>
    <row r="34" spans="1:144">
      <c r="A34" s="208"/>
      <c r="B34" s="209" t="s">
        <v>2642</v>
      </c>
      <c r="C34" s="211" t="s">
        <v>745</v>
      </c>
      <c r="D34" s="212">
        <v>9.99</v>
      </c>
      <c r="E34" s="212">
        <v>1.9</v>
      </c>
      <c r="F34" s="209" t="s">
        <v>314</v>
      </c>
      <c r="G34" s="209"/>
      <c r="H34" s="211" t="s">
        <v>591</v>
      </c>
      <c r="I34" s="209"/>
      <c r="J34" s="209"/>
      <c r="K34" s="209"/>
      <c r="Q34" s="211" t="s">
        <v>3174</v>
      </c>
      <c r="R34" s="211" t="s">
        <v>1195</v>
      </c>
      <c r="AN34" s="211" t="s">
        <v>603</v>
      </c>
      <c r="AO34" s="211" t="s">
        <v>1099</v>
      </c>
      <c r="BB34" s="211" t="s">
        <v>2888</v>
      </c>
      <c r="BD34" s="211" t="s">
        <v>5602</v>
      </c>
      <c r="BI34" s="211" t="s">
        <v>4189</v>
      </c>
      <c r="BK34" s="211" t="s">
        <v>3977</v>
      </c>
      <c r="DW34" s="211" t="s">
        <v>1408</v>
      </c>
      <c r="EK34" s="211" t="s">
        <v>1434</v>
      </c>
      <c r="EN34" s="211" t="s">
        <v>3515</v>
      </c>
    </row>
    <row r="35" spans="1:144">
      <c r="A35" s="208"/>
      <c r="B35" s="209" t="s">
        <v>2642</v>
      </c>
      <c r="C35" s="211" t="s">
        <v>746</v>
      </c>
      <c r="D35" s="212">
        <v>9.99</v>
      </c>
      <c r="E35" s="212">
        <v>2.1</v>
      </c>
      <c r="F35" s="209" t="s">
        <v>314</v>
      </c>
      <c r="G35" s="209"/>
      <c r="H35" s="211" t="s">
        <v>2666</v>
      </c>
      <c r="I35" s="209"/>
      <c r="J35" s="209"/>
      <c r="K35" s="209"/>
      <c r="Q35" s="211" t="s">
        <v>1986</v>
      </c>
      <c r="R35" s="211" t="s">
        <v>1196</v>
      </c>
      <c r="AN35" s="211" t="s">
        <v>2983</v>
      </c>
      <c r="AO35" s="211" t="s">
        <v>1100</v>
      </c>
      <c r="BB35" s="211" t="s">
        <v>2889</v>
      </c>
      <c r="BD35" s="211" t="s">
        <v>5600</v>
      </c>
      <c r="BI35" s="211" t="s">
        <v>4190</v>
      </c>
      <c r="BK35" s="211" t="s">
        <v>3978</v>
      </c>
      <c r="DW35" s="211" t="s">
        <v>950</v>
      </c>
      <c r="EK35" s="211" t="s">
        <v>1433</v>
      </c>
      <c r="EN35" s="211" t="s">
        <v>5592</v>
      </c>
    </row>
    <row r="36" spans="1:144">
      <c r="A36" s="208"/>
      <c r="B36" s="209" t="s">
        <v>2642</v>
      </c>
      <c r="C36" s="211" t="s">
        <v>315</v>
      </c>
      <c r="D36" s="212">
        <v>11.99</v>
      </c>
      <c r="E36" s="212">
        <v>2.6</v>
      </c>
      <c r="F36" s="209" t="s">
        <v>316</v>
      </c>
      <c r="G36" s="209"/>
      <c r="H36" s="211" t="s">
        <v>2667</v>
      </c>
      <c r="I36" s="209"/>
      <c r="J36" s="209"/>
      <c r="K36" s="209"/>
      <c r="Q36" s="211" t="s">
        <v>3175</v>
      </c>
      <c r="R36" s="211" t="s">
        <v>1378</v>
      </c>
      <c r="AO36" s="211" t="s">
        <v>1101</v>
      </c>
      <c r="BB36" s="211" t="s">
        <v>2890</v>
      </c>
      <c r="BI36" s="211" t="s">
        <v>4191</v>
      </c>
      <c r="BK36" s="211" t="s">
        <v>3979</v>
      </c>
      <c r="DW36" s="211" t="s">
        <v>951</v>
      </c>
      <c r="EK36" s="211" t="s">
        <v>1340</v>
      </c>
      <c r="EN36" s="211" t="s">
        <v>5410</v>
      </c>
    </row>
    <row r="37" spans="1:144">
      <c r="A37" s="208"/>
      <c r="B37" s="209" t="s">
        <v>2642</v>
      </c>
      <c r="C37" s="211" t="s">
        <v>555</v>
      </c>
      <c r="D37" s="209" t="s">
        <v>556</v>
      </c>
      <c r="E37" s="209" t="s">
        <v>411</v>
      </c>
      <c r="F37" s="209" t="s">
        <v>557</v>
      </c>
      <c r="G37" s="209"/>
      <c r="H37" s="211" t="s">
        <v>2668</v>
      </c>
      <c r="I37" s="209"/>
      <c r="J37" s="209"/>
      <c r="K37" s="209"/>
      <c r="Q37" s="211" t="s">
        <v>3176</v>
      </c>
      <c r="R37" s="211" t="s">
        <v>1377</v>
      </c>
      <c r="AO37" s="211" t="s">
        <v>579</v>
      </c>
      <c r="BB37" s="211" t="s">
        <v>2891</v>
      </c>
      <c r="BI37" s="211" t="s">
        <v>4192</v>
      </c>
      <c r="BK37" s="211" t="s">
        <v>3980</v>
      </c>
      <c r="DW37" s="211" t="s">
        <v>1409</v>
      </c>
      <c r="EK37" s="211" t="s">
        <v>1341</v>
      </c>
      <c r="EN37" s="211" t="s">
        <v>3537</v>
      </c>
    </row>
    <row r="38" spans="1:144">
      <c r="A38" s="208"/>
      <c r="B38" s="209" t="s">
        <v>2642</v>
      </c>
      <c r="C38" s="211" t="s">
        <v>559</v>
      </c>
      <c r="D38" s="209" t="s">
        <v>558</v>
      </c>
      <c r="E38" s="209" t="s">
        <v>454</v>
      </c>
      <c r="F38" s="209" t="s">
        <v>1113</v>
      </c>
      <c r="G38" s="209"/>
      <c r="H38" s="211" t="s">
        <v>2669</v>
      </c>
      <c r="I38" s="209"/>
      <c r="J38" s="209"/>
      <c r="K38" s="209"/>
      <c r="Q38" s="211" t="s">
        <v>354</v>
      </c>
      <c r="R38" s="211" t="s">
        <v>5638</v>
      </c>
      <c r="AO38" s="211" t="s">
        <v>5616</v>
      </c>
      <c r="BB38" s="211" t="s">
        <v>2892</v>
      </c>
      <c r="BI38" s="211" t="s">
        <v>4193</v>
      </c>
      <c r="BK38" s="211" t="s">
        <v>3981</v>
      </c>
      <c r="DW38" s="211" t="s">
        <v>1410</v>
      </c>
      <c r="EK38" s="211" t="s">
        <v>1342</v>
      </c>
      <c r="EN38" s="211" t="s">
        <v>3538</v>
      </c>
    </row>
    <row r="39" spans="1:144">
      <c r="A39" s="208"/>
      <c r="B39" s="209" t="s">
        <v>2641</v>
      </c>
      <c r="C39" s="211" t="s">
        <v>322</v>
      </c>
      <c r="D39" s="212">
        <v>11.22</v>
      </c>
      <c r="E39" s="212">
        <v>2.15</v>
      </c>
      <c r="F39" s="212" t="s">
        <v>2372</v>
      </c>
      <c r="G39" s="209"/>
      <c r="H39" s="211" t="s">
        <v>2670</v>
      </c>
      <c r="I39" s="209"/>
      <c r="J39" s="209"/>
      <c r="K39" s="209"/>
      <c r="Q39" s="211" t="s">
        <v>1656</v>
      </c>
      <c r="R39" s="211" t="s">
        <v>1197</v>
      </c>
      <c r="AO39" s="211" t="s">
        <v>5617</v>
      </c>
      <c r="BB39" s="211" t="s">
        <v>2893</v>
      </c>
      <c r="BI39" s="211" t="s">
        <v>1603</v>
      </c>
      <c r="BK39" s="211" t="s">
        <v>5644</v>
      </c>
      <c r="DW39" s="211" t="s">
        <v>1411</v>
      </c>
      <c r="EK39" s="211" t="s">
        <v>1435</v>
      </c>
      <c r="EN39" s="211" t="s">
        <v>1676</v>
      </c>
    </row>
    <row r="40" spans="1:144">
      <c r="A40" s="208"/>
      <c r="B40" s="209" t="s">
        <v>2641</v>
      </c>
      <c r="C40" s="211" t="s">
        <v>323</v>
      </c>
      <c r="D40" s="212">
        <v>11.65</v>
      </c>
      <c r="E40" s="212">
        <v>2.29</v>
      </c>
      <c r="F40" s="212" t="s">
        <v>324</v>
      </c>
      <c r="G40" s="209"/>
      <c r="H40" s="211" t="s">
        <v>2671</v>
      </c>
      <c r="I40" s="209"/>
      <c r="J40" s="209"/>
      <c r="K40" s="209"/>
      <c r="Q40" s="211" t="s">
        <v>3177</v>
      </c>
      <c r="R40" s="211" t="s">
        <v>1379</v>
      </c>
      <c r="AO40" s="211" t="s">
        <v>5593</v>
      </c>
      <c r="BB40" s="211" t="s">
        <v>2894</v>
      </c>
      <c r="BI40" s="211" t="s">
        <v>4194</v>
      </c>
      <c r="BK40" s="211" t="s">
        <v>3983</v>
      </c>
      <c r="DW40" s="211" t="s">
        <v>4722</v>
      </c>
      <c r="EK40" s="211" t="s">
        <v>1343</v>
      </c>
      <c r="EN40" s="211" t="s">
        <v>3546</v>
      </c>
    </row>
    <row r="41" spans="1:144">
      <c r="A41" s="208"/>
      <c r="B41" s="209" t="s">
        <v>2641</v>
      </c>
      <c r="C41" s="211" t="s">
        <v>325</v>
      </c>
      <c r="D41" s="212">
        <v>11.6</v>
      </c>
      <c r="E41" s="212">
        <v>2.21</v>
      </c>
      <c r="F41" s="212" t="s">
        <v>326</v>
      </c>
      <c r="G41" s="209"/>
      <c r="H41" s="211" t="s">
        <v>5365</v>
      </c>
      <c r="I41" s="209"/>
      <c r="J41" s="209"/>
      <c r="K41" s="209"/>
      <c r="Q41" s="211" t="s">
        <v>1657</v>
      </c>
      <c r="R41" s="211" t="s">
        <v>1380</v>
      </c>
      <c r="AO41" s="211" t="s">
        <v>508</v>
      </c>
      <c r="BB41" s="211" t="s">
        <v>412</v>
      </c>
      <c r="BI41" s="211" t="s">
        <v>5594</v>
      </c>
      <c r="BK41" s="211" t="s">
        <v>3982</v>
      </c>
      <c r="DW41" s="211" t="s">
        <v>952</v>
      </c>
      <c r="EK41" s="211" t="s">
        <v>1344</v>
      </c>
      <c r="EN41" s="211" t="s">
        <v>3547</v>
      </c>
    </row>
    <row r="42" spans="1:144">
      <c r="A42" s="208"/>
      <c r="B42" s="209" t="s">
        <v>2641</v>
      </c>
      <c r="C42" s="211" t="s">
        <v>328</v>
      </c>
      <c r="D42" s="209" t="s">
        <v>1978</v>
      </c>
      <c r="E42" s="212">
        <v>2.2599999999999998</v>
      </c>
      <c r="F42" s="212" t="s">
        <v>329</v>
      </c>
      <c r="G42" s="209"/>
      <c r="H42" s="211" t="s">
        <v>2672</v>
      </c>
      <c r="I42" s="209"/>
      <c r="J42" s="209"/>
      <c r="K42" s="209"/>
      <c r="Q42" s="211" t="s">
        <v>1663</v>
      </c>
      <c r="R42" s="211" t="s">
        <v>1198</v>
      </c>
      <c r="AO42" s="211" t="s">
        <v>5420</v>
      </c>
      <c r="BB42" s="211" t="s">
        <v>414</v>
      </c>
      <c r="BI42" s="211" t="s">
        <v>5615</v>
      </c>
      <c r="BK42" s="211" t="s">
        <v>3985</v>
      </c>
      <c r="DW42" s="211" t="s">
        <v>953</v>
      </c>
      <c r="EK42" s="211" t="s">
        <v>1345</v>
      </c>
      <c r="EN42" s="211" t="s">
        <v>3562</v>
      </c>
    </row>
    <row r="43" spans="1:144">
      <c r="A43" s="208"/>
      <c r="B43" s="209" t="s">
        <v>2641</v>
      </c>
      <c r="C43" s="211" t="s">
        <v>330</v>
      </c>
      <c r="D43" s="212">
        <v>12.78</v>
      </c>
      <c r="E43" s="212">
        <v>2.41</v>
      </c>
      <c r="F43" s="212" t="s">
        <v>326</v>
      </c>
      <c r="G43" s="209"/>
      <c r="H43" s="211" t="s">
        <v>2673</v>
      </c>
      <c r="I43" s="209"/>
      <c r="J43" s="209"/>
      <c r="K43" s="209"/>
      <c r="R43" s="211" t="s">
        <v>516</v>
      </c>
      <c r="BB43" s="211" t="s">
        <v>419</v>
      </c>
      <c r="BI43" s="211" t="s">
        <v>1604</v>
      </c>
      <c r="BK43" s="211" t="s">
        <v>3984</v>
      </c>
      <c r="DW43" s="211" t="s">
        <v>954</v>
      </c>
      <c r="EK43" s="211" t="s">
        <v>1346</v>
      </c>
      <c r="EN43" s="211" t="s">
        <v>1680</v>
      </c>
    </row>
    <row r="44" spans="1:144">
      <c r="A44" s="208"/>
      <c r="B44" s="209" t="s">
        <v>2641</v>
      </c>
      <c r="C44" s="211" t="s">
        <v>331</v>
      </c>
      <c r="D44" s="212">
        <v>13.21</v>
      </c>
      <c r="E44" s="212">
        <v>2.4500000000000002</v>
      </c>
      <c r="F44" s="212" t="s">
        <v>332</v>
      </c>
      <c r="G44" s="209"/>
      <c r="H44" s="211" t="s">
        <v>2674</v>
      </c>
      <c r="I44" s="212"/>
      <c r="J44" s="212"/>
      <c r="K44" s="212"/>
      <c r="R44" s="211" t="s">
        <v>1381</v>
      </c>
      <c r="BB44" s="211" t="s">
        <v>4622</v>
      </c>
      <c r="BI44" s="211" t="s">
        <v>1605</v>
      </c>
      <c r="BK44" s="211" t="s">
        <v>1610</v>
      </c>
      <c r="DW44" s="211" t="s">
        <v>955</v>
      </c>
      <c r="EK44" s="211" t="s">
        <v>1436</v>
      </c>
      <c r="EN44" s="211" t="s">
        <v>1682</v>
      </c>
    </row>
    <row r="45" spans="1:144">
      <c r="A45" s="208"/>
      <c r="B45" s="209" t="s">
        <v>2641</v>
      </c>
      <c r="C45" s="211" t="s">
        <v>333</v>
      </c>
      <c r="D45" s="212">
        <v>13.87</v>
      </c>
      <c r="E45" s="212">
        <v>2.33</v>
      </c>
      <c r="F45" s="212" t="s">
        <v>2370</v>
      </c>
      <c r="G45" s="209"/>
      <c r="H45" s="211" t="s">
        <v>2675</v>
      </c>
      <c r="I45" s="212"/>
      <c r="J45" s="212"/>
      <c r="K45" s="212"/>
      <c r="R45" s="211" t="s">
        <v>2043</v>
      </c>
      <c r="BI45" s="211" t="s">
        <v>4195</v>
      </c>
      <c r="BK45" s="211" t="s">
        <v>1609</v>
      </c>
      <c r="DW45" s="211" t="s">
        <v>956</v>
      </c>
      <c r="EK45" s="211" t="s">
        <v>1437</v>
      </c>
      <c r="EN45" s="211" t="s">
        <v>3566</v>
      </c>
    </row>
    <row r="46" spans="1:144">
      <c r="A46" s="208"/>
      <c r="B46" s="209" t="s">
        <v>2641</v>
      </c>
      <c r="C46" s="211" t="s">
        <v>334</v>
      </c>
      <c r="D46" s="212">
        <v>13.9</v>
      </c>
      <c r="E46" s="212">
        <v>3.25</v>
      </c>
      <c r="F46" s="209" t="s">
        <v>2346</v>
      </c>
      <c r="G46" s="212"/>
      <c r="H46" s="211" t="s">
        <v>2859</v>
      </c>
      <c r="I46" s="212"/>
      <c r="J46" s="212"/>
      <c r="K46" s="212"/>
      <c r="R46" s="211" t="s">
        <v>1199</v>
      </c>
      <c r="BI46" s="211" t="s">
        <v>2788</v>
      </c>
      <c r="BK46" s="211" t="s">
        <v>1612</v>
      </c>
      <c r="DW46" s="211" t="s">
        <v>957</v>
      </c>
      <c r="EK46" s="211" t="s">
        <v>1440</v>
      </c>
      <c r="EN46" s="211" t="s">
        <v>3567</v>
      </c>
    </row>
    <row r="47" spans="1:144">
      <c r="A47" s="208"/>
      <c r="B47" s="209" t="s">
        <v>2641</v>
      </c>
      <c r="C47" s="211" t="s">
        <v>335</v>
      </c>
      <c r="D47" s="209" t="s">
        <v>1979</v>
      </c>
      <c r="E47" s="212">
        <v>2.7</v>
      </c>
      <c r="F47" s="212" t="s">
        <v>332</v>
      </c>
      <c r="G47" s="212"/>
      <c r="H47" s="211" t="s">
        <v>2860</v>
      </c>
      <c r="I47" s="209"/>
      <c r="J47" s="209"/>
      <c r="K47" s="209"/>
      <c r="R47" s="211" t="s">
        <v>1382</v>
      </c>
      <c r="BI47" s="211" t="s">
        <v>2789</v>
      </c>
      <c r="BK47" s="211" t="s">
        <v>1611</v>
      </c>
      <c r="DW47" s="211" t="s">
        <v>958</v>
      </c>
      <c r="EK47" s="211" t="s">
        <v>1438</v>
      </c>
      <c r="EN47" s="211" t="s">
        <v>3569</v>
      </c>
    </row>
    <row r="48" spans="1:144">
      <c r="A48" s="208"/>
      <c r="B48" s="209" t="s">
        <v>2641</v>
      </c>
      <c r="C48" s="211" t="s">
        <v>336</v>
      </c>
      <c r="D48" s="212">
        <v>15.24</v>
      </c>
      <c r="E48" s="212">
        <v>3.31</v>
      </c>
      <c r="F48" s="212" t="s">
        <v>2344</v>
      </c>
      <c r="G48" s="212"/>
      <c r="H48" s="211" t="s">
        <v>2895</v>
      </c>
      <c r="I48" s="212"/>
      <c r="J48" s="212"/>
      <c r="K48" s="212"/>
      <c r="R48" s="211" t="s">
        <v>1383</v>
      </c>
      <c r="BI48" s="211" t="s">
        <v>581</v>
      </c>
      <c r="BK48" s="211" t="s">
        <v>3986</v>
      </c>
      <c r="DW48" s="211" t="s">
        <v>461</v>
      </c>
      <c r="EK48" s="211" t="s">
        <v>1439</v>
      </c>
      <c r="EN48" s="211" t="s">
        <v>3571</v>
      </c>
    </row>
    <row r="49" spans="1:144">
      <c r="A49" s="208"/>
      <c r="B49" s="209" t="s">
        <v>2641</v>
      </c>
      <c r="C49" s="211" t="s">
        <v>337</v>
      </c>
      <c r="D49" s="212">
        <v>16.079999999999998</v>
      </c>
      <c r="E49" s="212">
        <v>2.84</v>
      </c>
      <c r="F49" s="212" t="s">
        <v>2340</v>
      </c>
      <c r="G49" s="209"/>
      <c r="H49" s="211" t="s">
        <v>2896</v>
      </c>
      <c r="I49" s="212"/>
      <c r="J49" s="212"/>
      <c r="K49" s="212"/>
      <c r="R49" s="211" t="s">
        <v>1384</v>
      </c>
      <c r="BI49" s="211" t="s">
        <v>1606</v>
      </c>
      <c r="BK49" s="211" t="s">
        <v>3987</v>
      </c>
      <c r="DW49" s="211" t="s">
        <v>959</v>
      </c>
      <c r="EK49" s="211" t="s">
        <v>1347</v>
      </c>
      <c r="EN49" s="211" t="s">
        <v>574</v>
      </c>
    </row>
    <row r="50" spans="1:144">
      <c r="A50" s="208"/>
      <c r="B50" s="209" t="s">
        <v>2641</v>
      </c>
      <c r="C50" s="211" t="s">
        <v>338</v>
      </c>
      <c r="D50" s="212">
        <v>16.68</v>
      </c>
      <c r="E50" s="212">
        <v>2.2400000000000002</v>
      </c>
      <c r="F50" s="212" t="s">
        <v>306</v>
      </c>
      <c r="G50" s="212"/>
      <c r="H50" s="211" t="s">
        <v>2863</v>
      </c>
      <c r="I50" s="209"/>
      <c r="J50" s="209"/>
      <c r="K50" s="209"/>
      <c r="R50" s="211" t="s">
        <v>1385</v>
      </c>
      <c r="BI50" s="211" t="s">
        <v>1607</v>
      </c>
      <c r="BK50" s="211" t="s">
        <v>1613</v>
      </c>
      <c r="DW50" s="211" t="s">
        <v>960</v>
      </c>
      <c r="EK50" s="211" t="s">
        <v>1348</v>
      </c>
      <c r="EN50" s="211" t="s">
        <v>497</v>
      </c>
    </row>
    <row r="51" spans="1:144">
      <c r="A51" s="208"/>
      <c r="B51" s="209" t="s">
        <v>2643</v>
      </c>
      <c r="C51" s="211" t="s">
        <v>339</v>
      </c>
      <c r="D51" s="209" t="s">
        <v>1980</v>
      </c>
      <c r="E51" s="212">
        <v>1.85</v>
      </c>
      <c r="F51" s="212" t="s">
        <v>2347</v>
      </c>
      <c r="G51" s="212"/>
      <c r="H51" s="211" t="s">
        <v>2864</v>
      </c>
      <c r="I51" s="209"/>
      <c r="J51" s="209"/>
      <c r="K51" s="209"/>
      <c r="R51" s="211" t="s">
        <v>3017</v>
      </c>
      <c r="BI51" s="211" t="s">
        <v>4196</v>
      </c>
      <c r="BK51" s="211" t="s">
        <v>1614</v>
      </c>
      <c r="DW51" s="211" t="s">
        <v>961</v>
      </c>
      <c r="EK51" s="211" t="s">
        <v>479</v>
      </c>
      <c r="EN51" s="211" t="s">
        <v>3575</v>
      </c>
    </row>
    <row r="52" spans="1:144">
      <c r="A52" s="208"/>
      <c r="B52" s="209" t="s">
        <v>2643</v>
      </c>
      <c r="C52" s="211" t="s">
        <v>747</v>
      </c>
      <c r="D52" s="212">
        <v>9.27</v>
      </c>
      <c r="E52" s="212">
        <v>1.75</v>
      </c>
      <c r="F52" s="209" t="s">
        <v>311</v>
      </c>
      <c r="G52" s="209"/>
      <c r="H52" s="211" t="s">
        <v>2865</v>
      </c>
      <c r="I52" s="209"/>
      <c r="J52" s="209"/>
      <c r="K52" s="209"/>
      <c r="R52" s="211" t="s">
        <v>1200</v>
      </c>
      <c r="BI52" s="211" t="s">
        <v>4197</v>
      </c>
      <c r="BK52" s="211" t="s">
        <v>1616</v>
      </c>
      <c r="DW52" s="211" t="s">
        <v>962</v>
      </c>
      <c r="EK52" s="211" t="s">
        <v>483</v>
      </c>
      <c r="EN52" s="211" t="s">
        <v>562</v>
      </c>
    </row>
    <row r="53" spans="1:144">
      <c r="A53" s="208"/>
      <c r="B53" s="209" t="s">
        <v>2643</v>
      </c>
      <c r="C53" s="211" t="s">
        <v>748</v>
      </c>
      <c r="D53" s="212">
        <v>9.27</v>
      </c>
      <c r="E53" s="212">
        <v>2</v>
      </c>
      <c r="F53" s="209" t="s">
        <v>311</v>
      </c>
      <c r="G53" s="209"/>
      <c r="H53" s="211" t="s">
        <v>2866</v>
      </c>
      <c r="I53" s="209"/>
      <c r="J53" s="209"/>
      <c r="K53" s="209"/>
      <c r="R53" s="211" t="s">
        <v>1201</v>
      </c>
      <c r="BI53" s="211" t="s">
        <v>5306</v>
      </c>
      <c r="BK53" s="211" t="s">
        <v>1615</v>
      </c>
      <c r="DW53" s="211" t="s">
        <v>790</v>
      </c>
      <c r="EK53" s="211" t="s">
        <v>478</v>
      </c>
      <c r="EN53" s="211" t="s">
        <v>3576</v>
      </c>
    </row>
    <row r="54" spans="1:144">
      <c r="A54" s="208"/>
      <c r="B54" s="209" t="s">
        <v>2643</v>
      </c>
      <c r="C54" s="211" t="s">
        <v>749</v>
      </c>
      <c r="D54" s="212">
        <v>9.9</v>
      </c>
      <c r="E54" s="212">
        <v>1.5</v>
      </c>
      <c r="F54" s="212" t="s">
        <v>310</v>
      </c>
      <c r="G54" s="209"/>
      <c r="H54" s="211" t="s">
        <v>5424</v>
      </c>
      <c r="I54" s="209"/>
      <c r="J54" s="209"/>
      <c r="K54" s="209"/>
      <c r="R54" s="211" t="s">
        <v>1202</v>
      </c>
      <c r="BI54" s="211" t="s">
        <v>5308</v>
      </c>
      <c r="BK54" s="211" t="s">
        <v>459</v>
      </c>
      <c r="DW54" s="211" t="s">
        <v>792</v>
      </c>
      <c r="EK54" s="211" t="s">
        <v>1349</v>
      </c>
      <c r="EN54" s="211" t="s">
        <v>2947</v>
      </c>
    </row>
    <row r="55" spans="1:144">
      <c r="A55" s="208"/>
      <c r="B55" s="209" t="s">
        <v>2643</v>
      </c>
      <c r="C55" s="211" t="s">
        <v>750</v>
      </c>
      <c r="D55" s="212">
        <v>9.9</v>
      </c>
      <c r="E55" s="212">
        <v>1.8</v>
      </c>
      <c r="F55" s="212" t="s">
        <v>310</v>
      </c>
      <c r="G55" s="209"/>
      <c r="H55" s="211" t="s">
        <v>1591</v>
      </c>
      <c r="I55" s="209"/>
      <c r="J55" s="209"/>
      <c r="K55" s="209"/>
      <c r="R55" s="211" t="s">
        <v>5466</v>
      </c>
      <c r="BI55" s="211" t="s">
        <v>5309</v>
      </c>
      <c r="BK55" s="211" t="s">
        <v>4636</v>
      </c>
      <c r="DW55" s="211" t="s">
        <v>463</v>
      </c>
      <c r="EK55" s="211" t="s">
        <v>1441</v>
      </c>
      <c r="EN55" s="211" t="s">
        <v>2948</v>
      </c>
    </row>
    <row r="56" spans="1:144">
      <c r="A56" s="208"/>
      <c r="B56" s="209" t="s">
        <v>2643</v>
      </c>
      <c r="C56" s="211" t="s">
        <v>1654</v>
      </c>
      <c r="D56" s="209" t="s">
        <v>1997</v>
      </c>
      <c r="E56" s="209" t="s">
        <v>1998</v>
      </c>
      <c r="F56" s="209" t="s">
        <v>2346</v>
      </c>
      <c r="G56" s="209"/>
      <c r="H56" s="211" t="s">
        <v>2869</v>
      </c>
      <c r="I56" s="212"/>
      <c r="J56" s="212"/>
      <c r="K56" s="212"/>
      <c r="R56" s="211" t="s">
        <v>3019</v>
      </c>
      <c r="BK56" s="211" t="s">
        <v>3988</v>
      </c>
      <c r="DW56" s="211" t="s">
        <v>466</v>
      </c>
      <c r="EK56" s="211" t="s">
        <v>1442</v>
      </c>
      <c r="EN56" s="211" t="s">
        <v>2958</v>
      </c>
    </row>
    <row r="57" spans="1:144">
      <c r="A57" s="208"/>
      <c r="B57" s="209" t="s">
        <v>2643</v>
      </c>
      <c r="C57" s="211" t="s">
        <v>340</v>
      </c>
      <c r="D57" s="212">
        <v>10.35</v>
      </c>
      <c r="E57" s="212">
        <v>1.85</v>
      </c>
      <c r="F57" s="212" t="s">
        <v>341</v>
      </c>
      <c r="G57" s="209"/>
      <c r="H57" s="211" t="s">
        <v>2870</v>
      </c>
      <c r="I57" s="212"/>
      <c r="J57" s="212"/>
      <c r="K57" s="212"/>
      <c r="R57" s="211" t="s">
        <v>3020</v>
      </c>
      <c r="BK57" s="211" t="s">
        <v>3989</v>
      </c>
      <c r="DW57" s="211" t="s">
        <v>963</v>
      </c>
      <c r="EK57" s="211" t="s">
        <v>1350</v>
      </c>
      <c r="EN57" s="211" t="s">
        <v>490</v>
      </c>
    </row>
    <row r="58" spans="1:144">
      <c r="A58" s="208"/>
      <c r="B58" s="209" t="s">
        <v>2643</v>
      </c>
      <c r="C58" s="211" t="s">
        <v>342</v>
      </c>
      <c r="D58" s="212">
        <v>9.85</v>
      </c>
      <c r="E58" s="212">
        <v>1.64</v>
      </c>
      <c r="F58" s="212" t="s">
        <v>324</v>
      </c>
      <c r="G58" s="212"/>
      <c r="H58" s="211" t="s">
        <v>2871</v>
      </c>
      <c r="I58" s="209"/>
      <c r="J58" s="209"/>
      <c r="K58" s="209"/>
      <c r="R58" s="211" t="s">
        <v>3018</v>
      </c>
      <c r="BK58" s="211" t="s">
        <v>1618</v>
      </c>
      <c r="EK58" s="211" t="s">
        <v>1351</v>
      </c>
      <c r="EN58" s="211" t="s">
        <v>2962</v>
      </c>
    </row>
    <row r="59" spans="1:144">
      <c r="A59" s="208"/>
      <c r="B59" s="209" t="s">
        <v>2643</v>
      </c>
      <c r="C59" s="211" t="s">
        <v>751</v>
      </c>
      <c r="D59" s="212">
        <v>10.79</v>
      </c>
      <c r="E59" s="212">
        <v>2</v>
      </c>
      <c r="F59" s="212" t="s">
        <v>321</v>
      </c>
      <c r="G59" s="212"/>
      <c r="H59" s="211" t="s">
        <v>1592</v>
      </c>
      <c r="I59" s="209"/>
      <c r="J59" s="209"/>
      <c r="K59" s="209"/>
      <c r="R59" s="211" t="s">
        <v>3021</v>
      </c>
      <c r="BK59" s="211" t="s">
        <v>1617</v>
      </c>
      <c r="EK59" s="211" t="s">
        <v>1352</v>
      </c>
      <c r="EN59" s="211" t="s">
        <v>2984</v>
      </c>
    </row>
    <row r="60" spans="1:144">
      <c r="A60" s="208"/>
      <c r="B60" s="209" t="s">
        <v>2643</v>
      </c>
      <c r="C60" s="211" t="s">
        <v>752</v>
      </c>
      <c r="D60" s="212">
        <v>10.79</v>
      </c>
      <c r="E60" s="212">
        <v>2.2400000000000002</v>
      </c>
      <c r="F60" s="212" t="s">
        <v>321</v>
      </c>
      <c r="G60" s="209"/>
      <c r="H60" s="211" t="s">
        <v>2873</v>
      </c>
      <c r="I60" s="209"/>
      <c r="J60" s="209"/>
      <c r="K60" s="209"/>
      <c r="R60" s="211" t="s">
        <v>3022</v>
      </c>
      <c r="BK60" s="211" t="s">
        <v>3990</v>
      </c>
      <c r="EK60" s="211" t="s">
        <v>1353</v>
      </c>
      <c r="EN60" s="211" t="s">
        <v>2985</v>
      </c>
    </row>
    <row r="61" spans="1:144">
      <c r="A61" s="208"/>
      <c r="B61" s="209" t="s">
        <v>2643</v>
      </c>
      <c r="C61" s="211" t="s">
        <v>753</v>
      </c>
      <c r="D61" s="212">
        <v>10.79</v>
      </c>
      <c r="E61" s="212">
        <v>2</v>
      </c>
      <c r="F61" s="212" t="s">
        <v>321</v>
      </c>
      <c r="G61" s="209"/>
      <c r="H61" s="211" t="s">
        <v>3433</v>
      </c>
      <c r="I61" s="212"/>
      <c r="J61" s="212"/>
      <c r="K61" s="212"/>
      <c r="R61" s="211" t="s">
        <v>3023</v>
      </c>
      <c r="BK61" s="211" t="s">
        <v>5312</v>
      </c>
      <c r="EK61" s="211" t="s">
        <v>474</v>
      </c>
      <c r="EN61" s="211" t="s">
        <v>493</v>
      </c>
    </row>
    <row r="62" spans="1:144">
      <c r="A62" s="208"/>
      <c r="B62" s="209" t="s">
        <v>2643</v>
      </c>
      <c r="C62" s="211" t="s">
        <v>754</v>
      </c>
      <c r="D62" s="212">
        <v>10.96</v>
      </c>
      <c r="E62" s="212">
        <v>1.92</v>
      </c>
      <c r="F62" s="212" t="s">
        <v>310</v>
      </c>
      <c r="G62" s="209"/>
      <c r="H62" s="211" t="s">
        <v>3435</v>
      </c>
      <c r="I62" s="209"/>
      <c r="J62" s="209"/>
      <c r="K62" s="209"/>
      <c r="R62" s="211" t="s">
        <v>3024</v>
      </c>
      <c r="BK62" s="211" t="s">
        <v>5314</v>
      </c>
      <c r="EK62" s="211" t="s">
        <v>1354</v>
      </c>
      <c r="EN62" s="211" t="s">
        <v>2986</v>
      </c>
    </row>
    <row r="63" spans="1:144">
      <c r="A63" s="208"/>
      <c r="B63" s="209" t="s">
        <v>2643</v>
      </c>
      <c r="C63" s="211" t="s">
        <v>1653</v>
      </c>
      <c r="D63" s="209" t="s">
        <v>2031</v>
      </c>
      <c r="E63" s="209" t="s">
        <v>1998</v>
      </c>
      <c r="F63" s="209" t="s">
        <v>3000</v>
      </c>
      <c r="G63" s="212"/>
      <c r="H63" s="211" t="s">
        <v>3434</v>
      </c>
      <c r="I63" s="209"/>
      <c r="J63" s="209"/>
      <c r="K63" s="209"/>
      <c r="R63" s="211" t="s">
        <v>3025</v>
      </c>
      <c r="BK63" s="211" t="s">
        <v>3991</v>
      </c>
      <c r="EK63" s="211" t="s">
        <v>1444</v>
      </c>
      <c r="EN63" s="211" t="s">
        <v>2987</v>
      </c>
    </row>
    <row r="64" spans="1:144">
      <c r="A64" s="208"/>
      <c r="B64" s="209" t="s">
        <v>2643</v>
      </c>
      <c r="C64" s="211" t="s">
        <v>3166</v>
      </c>
      <c r="D64" s="212">
        <v>11.1</v>
      </c>
      <c r="E64" s="212">
        <v>1.4</v>
      </c>
      <c r="F64" s="209" t="s">
        <v>343</v>
      </c>
      <c r="G64" s="209"/>
      <c r="H64" s="211" t="s">
        <v>3436</v>
      </c>
      <c r="I64" s="212"/>
      <c r="J64" s="212"/>
      <c r="K64" s="212"/>
      <c r="R64" s="211" t="s">
        <v>3026</v>
      </c>
      <c r="BK64" s="211" t="s">
        <v>3992</v>
      </c>
      <c r="EK64" s="211" t="s">
        <v>1443</v>
      </c>
      <c r="EN64" s="211" t="s">
        <v>2988</v>
      </c>
    </row>
    <row r="65" spans="1:144">
      <c r="A65" s="208"/>
      <c r="B65" s="209" t="s">
        <v>2643</v>
      </c>
      <c r="C65" s="211" t="s">
        <v>3165</v>
      </c>
      <c r="D65" s="212">
        <v>11.1</v>
      </c>
      <c r="E65" s="212">
        <v>1.85</v>
      </c>
      <c r="F65" s="212" t="s">
        <v>343</v>
      </c>
      <c r="G65" s="209"/>
      <c r="H65" s="211" t="s">
        <v>3437</v>
      </c>
      <c r="I65" s="209"/>
      <c r="J65" s="209"/>
      <c r="K65" s="209"/>
      <c r="R65" s="211" t="s">
        <v>3027</v>
      </c>
      <c r="BK65" s="211" t="s">
        <v>1619</v>
      </c>
      <c r="EK65" s="211" t="s">
        <v>1355</v>
      </c>
      <c r="EN65" s="211" t="s">
        <v>2989</v>
      </c>
    </row>
    <row r="66" spans="1:144">
      <c r="A66" s="208"/>
      <c r="B66" s="209" t="s">
        <v>2643</v>
      </c>
      <c r="C66" s="211" t="s">
        <v>344</v>
      </c>
      <c r="D66" s="212">
        <v>11.36</v>
      </c>
      <c r="E66" s="212">
        <v>1.8</v>
      </c>
      <c r="F66" s="212" t="s">
        <v>308</v>
      </c>
      <c r="G66" s="212"/>
      <c r="H66" s="211" t="s">
        <v>3438</v>
      </c>
      <c r="I66" s="212"/>
      <c r="J66" s="212"/>
      <c r="K66" s="212"/>
      <c r="R66" s="211" t="s">
        <v>3028</v>
      </c>
      <c r="BK66" s="211" t="s">
        <v>1620</v>
      </c>
      <c r="EK66" s="211" t="s">
        <v>476</v>
      </c>
      <c r="EN66" s="211" t="s">
        <v>494</v>
      </c>
    </row>
    <row r="67" spans="1:144">
      <c r="A67" s="208"/>
      <c r="B67" s="209" t="s">
        <v>2643</v>
      </c>
      <c r="C67" s="211" t="s">
        <v>345</v>
      </c>
      <c r="D67" s="212">
        <v>11.81</v>
      </c>
      <c r="E67" s="212">
        <v>1.85</v>
      </c>
      <c r="F67" s="212" t="s">
        <v>343</v>
      </c>
      <c r="G67" s="209"/>
      <c r="H67" s="211" t="s">
        <v>3439</v>
      </c>
      <c r="I67" s="209"/>
      <c r="J67" s="209"/>
      <c r="K67" s="209"/>
      <c r="R67" s="211" t="s">
        <v>3029</v>
      </c>
      <c r="BK67" s="211" t="s">
        <v>1621</v>
      </c>
      <c r="EK67" s="211" t="s">
        <v>1356</v>
      </c>
      <c r="EN67" s="211" t="s">
        <v>1102</v>
      </c>
    </row>
    <row r="68" spans="1:144">
      <c r="A68" s="208"/>
      <c r="B68" s="209" t="s">
        <v>2643</v>
      </c>
      <c r="C68" s="211" t="s">
        <v>3168</v>
      </c>
      <c r="D68" s="209" t="s">
        <v>1981</v>
      </c>
      <c r="E68" s="212">
        <v>1.7</v>
      </c>
      <c r="F68" s="212" t="s">
        <v>310</v>
      </c>
      <c r="G68" s="212"/>
      <c r="H68" s="211" t="s">
        <v>1632</v>
      </c>
      <c r="I68" s="209"/>
      <c r="J68" s="209"/>
      <c r="K68" s="209"/>
      <c r="R68" s="211" t="s">
        <v>520</v>
      </c>
      <c r="BK68" s="211" t="s">
        <v>3993</v>
      </c>
      <c r="EK68" s="211" t="s">
        <v>1357</v>
      </c>
      <c r="EN68" s="211" t="s">
        <v>1117</v>
      </c>
    </row>
    <row r="69" spans="1:144">
      <c r="A69" s="208"/>
      <c r="B69" s="209" t="s">
        <v>2643</v>
      </c>
      <c r="C69" s="211" t="s">
        <v>3167</v>
      </c>
      <c r="D69" s="212">
        <v>11.91</v>
      </c>
      <c r="E69" s="212">
        <v>2</v>
      </c>
      <c r="F69" s="212" t="s">
        <v>310</v>
      </c>
      <c r="G69" s="209"/>
      <c r="H69" s="211" t="s">
        <v>3440</v>
      </c>
      <c r="I69" s="209"/>
      <c r="J69" s="209"/>
      <c r="K69" s="209"/>
      <c r="R69" s="211" t="s">
        <v>3030</v>
      </c>
      <c r="BK69" s="211" t="s">
        <v>3994</v>
      </c>
      <c r="EK69" s="211" t="s">
        <v>1445</v>
      </c>
      <c r="EN69" s="211" t="s">
        <v>5639</v>
      </c>
    </row>
    <row r="70" spans="1:144">
      <c r="A70" s="208"/>
      <c r="B70" s="209" t="s">
        <v>2643</v>
      </c>
      <c r="C70" s="211" t="s">
        <v>346</v>
      </c>
      <c r="D70" s="209" t="s">
        <v>1982</v>
      </c>
      <c r="E70" s="212">
        <v>2.21</v>
      </c>
      <c r="F70" s="212" t="s">
        <v>2345</v>
      </c>
      <c r="G70" s="209"/>
      <c r="H70" s="211" t="s">
        <v>3442</v>
      </c>
      <c r="I70" s="209"/>
      <c r="J70" s="209"/>
      <c r="K70" s="209"/>
      <c r="R70" s="211" t="s">
        <v>3031</v>
      </c>
      <c r="BK70" s="211" t="s">
        <v>3995</v>
      </c>
      <c r="EK70" s="211" t="s">
        <v>477</v>
      </c>
      <c r="EN70" s="211" t="s">
        <v>1118</v>
      </c>
    </row>
    <row r="71" spans="1:144">
      <c r="A71" s="208"/>
      <c r="B71" s="209" t="s">
        <v>2643</v>
      </c>
      <c r="C71" s="211" t="s">
        <v>3170</v>
      </c>
      <c r="D71" s="209" t="s">
        <v>1983</v>
      </c>
      <c r="E71" s="212">
        <v>2.0499999999999998</v>
      </c>
      <c r="F71" s="209" t="s">
        <v>2347</v>
      </c>
      <c r="G71" s="209"/>
      <c r="H71" s="211" t="s">
        <v>3443</v>
      </c>
      <c r="I71" s="209"/>
      <c r="J71" s="209"/>
      <c r="K71" s="209"/>
      <c r="R71" s="211" t="s">
        <v>755</v>
      </c>
      <c r="BK71" s="211" t="s">
        <v>5643</v>
      </c>
      <c r="EN71" s="211" t="s">
        <v>1119</v>
      </c>
    </row>
    <row r="72" spans="1:144">
      <c r="A72" s="208"/>
      <c r="B72" s="209" t="s">
        <v>2643</v>
      </c>
      <c r="C72" s="211" t="s">
        <v>3169</v>
      </c>
      <c r="D72" s="212">
        <v>11.99</v>
      </c>
      <c r="E72" s="212">
        <v>1.86</v>
      </c>
      <c r="F72" s="212" t="s">
        <v>2347</v>
      </c>
      <c r="G72" s="209"/>
      <c r="H72" s="211" t="s">
        <v>3444</v>
      </c>
      <c r="I72" s="209"/>
      <c r="J72" s="209"/>
      <c r="K72" s="209"/>
      <c r="R72" s="211" t="s">
        <v>3032</v>
      </c>
      <c r="BK72" s="211" t="s">
        <v>1622</v>
      </c>
      <c r="EN72" s="211" t="s">
        <v>1120</v>
      </c>
    </row>
    <row r="73" spans="1:144">
      <c r="A73" s="208"/>
      <c r="B73" s="209" t="s">
        <v>2643</v>
      </c>
      <c r="C73" s="211" t="s">
        <v>347</v>
      </c>
      <c r="D73" s="209" t="s">
        <v>1984</v>
      </c>
      <c r="E73" s="212">
        <v>1.8</v>
      </c>
      <c r="F73" s="212" t="s">
        <v>2377</v>
      </c>
      <c r="G73" s="209"/>
      <c r="H73" s="211" t="s">
        <v>3445</v>
      </c>
      <c r="I73" s="209"/>
      <c r="J73" s="209"/>
      <c r="K73" s="209"/>
      <c r="R73" s="211" t="s">
        <v>3033</v>
      </c>
      <c r="BK73" s="211" t="s">
        <v>1623</v>
      </c>
      <c r="EN73" s="211" t="s">
        <v>1124</v>
      </c>
    </row>
    <row r="74" spans="1:144">
      <c r="A74" s="208"/>
      <c r="B74" s="209" t="s">
        <v>2643</v>
      </c>
      <c r="C74" s="211" t="s">
        <v>348</v>
      </c>
      <c r="D74" s="212">
        <v>11.99</v>
      </c>
      <c r="E74" s="212">
        <v>1.95</v>
      </c>
      <c r="F74" s="212" t="s">
        <v>343</v>
      </c>
      <c r="G74" s="209"/>
      <c r="H74" s="211" t="s">
        <v>3446</v>
      </c>
      <c r="I74" s="209"/>
      <c r="J74" s="209"/>
      <c r="K74" s="209"/>
      <c r="R74" s="211" t="s">
        <v>521</v>
      </c>
      <c r="BK74" s="211" t="s">
        <v>5401</v>
      </c>
      <c r="EN74" s="211" t="s">
        <v>1125</v>
      </c>
    </row>
    <row r="75" spans="1:144">
      <c r="A75" s="208"/>
      <c r="B75" s="209" t="s">
        <v>2643</v>
      </c>
      <c r="C75" s="211" t="s">
        <v>1655</v>
      </c>
      <c r="D75" s="209" t="s">
        <v>1983</v>
      </c>
      <c r="E75" s="209" t="s">
        <v>1658</v>
      </c>
      <c r="F75" s="209" t="s">
        <v>314</v>
      </c>
      <c r="G75" s="209"/>
      <c r="H75" s="211" t="s">
        <v>3447</v>
      </c>
      <c r="I75" s="209"/>
      <c r="J75" s="209"/>
      <c r="K75" s="209"/>
      <c r="R75" s="211" t="s">
        <v>1203</v>
      </c>
      <c r="BK75" s="211" t="s">
        <v>4668</v>
      </c>
      <c r="EN75" s="211" t="s">
        <v>779</v>
      </c>
    </row>
    <row r="76" spans="1:144">
      <c r="A76" s="208"/>
      <c r="B76" s="209" t="s">
        <v>2643</v>
      </c>
      <c r="C76" s="211" t="s">
        <v>349</v>
      </c>
      <c r="D76" s="212">
        <v>12.2</v>
      </c>
      <c r="E76" s="212">
        <v>1.82</v>
      </c>
      <c r="F76" s="212" t="s">
        <v>319</v>
      </c>
      <c r="G76" s="209"/>
      <c r="H76" s="211" t="s">
        <v>5416</v>
      </c>
      <c r="I76" s="209"/>
      <c r="J76" s="209"/>
      <c r="K76" s="209"/>
      <c r="R76" s="211" t="s">
        <v>1204</v>
      </c>
      <c r="BK76" s="211" t="s">
        <v>1625</v>
      </c>
      <c r="EN76" s="211" t="s">
        <v>1131</v>
      </c>
    </row>
    <row r="77" spans="1:144">
      <c r="A77" s="208"/>
      <c r="B77" s="209" t="s">
        <v>2643</v>
      </c>
      <c r="C77" s="211" t="s">
        <v>350</v>
      </c>
      <c r="D77" s="212">
        <v>12.95</v>
      </c>
      <c r="E77" s="212">
        <v>1.95</v>
      </c>
      <c r="F77" s="212" t="s">
        <v>2344</v>
      </c>
      <c r="G77" s="209"/>
      <c r="H77" s="211" t="s">
        <v>1639</v>
      </c>
      <c r="I77" s="209"/>
      <c r="J77" s="209"/>
      <c r="K77" s="209"/>
      <c r="R77" s="211" t="s">
        <v>1205</v>
      </c>
      <c r="BK77" s="211" t="s">
        <v>1624</v>
      </c>
      <c r="EN77" s="211" t="s">
        <v>506</v>
      </c>
    </row>
    <row r="78" spans="1:144">
      <c r="A78" s="208"/>
      <c r="B78" s="209" t="s">
        <v>2643</v>
      </c>
      <c r="C78" s="211" t="s">
        <v>351</v>
      </c>
      <c r="D78" s="209" t="s">
        <v>1985</v>
      </c>
      <c r="E78" s="212">
        <v>2.44</v>
      </c>
      <c r="F78" s="212" t="s">
        <v>321</v>
      </c>
      <c r="G78" s="209"/>
      <c r="H78" s="211" t="s">
        <v>3448</v>
      </c>
      <c r="I78" s="209"/>
      <c r="J78" s="209"/>
      <c r="K78" s="209"/>
      <c r="R78" s="211" t="s">
        <v>1206</v>
      </c>
      <c r="BK78" s="211" t="s">
        <v>3996</v>
      </c>
      <c r="EN78" s="211" t="s">
        <v>1134</v>
      </c>
    </row>
    <row r="79" spans="1:144">
      <c r="A79" s="208"/>
      <c r="B79" s="209" t="s">
        <v>2643</v>
      </c>
      <c r="C79" s="211" t="s">
        <v>3172</v>
      </c>
      <c r="D79" s="212">
        <v>13.6</v>
      </c>
      <c r="E79" s="212">
        <v>1.65</v>
      </c>
      <c r="F79" s="212" t="s">
        <v>2359</v>
      </c>
      <c r="G79" s="209"/>
      <c r="H79" s="211" t="s">
        <v>3826</v>
      </c>
      <c r="I79" s="209"/>
      <c r="J79" s="209"/>
      <c r="K79" s="209"/>
      <c r="R79" s="211" t="s">
        <v>525</v>
      </c>
      <c r="BK79" s="211" t="s">
        <v>3997</v>
      </c>
      <c r="EN79" s="211" t="s">
        <v>1135</v>
      </c>
    </row>
    <row r="80" spans="1:144">
      <c r="A80" s="208"/>
      <c r="B80" s="209" t="s">
        <v>2643</v>
      </c>
      <c r="C80" s="211" t="s">
        <v>3171</v>
      </c>
      <c r="D80" s="212">
        <v>13.6</v>
      </c>
      <c r="E80" s="212">
        <v>1.95</v>
      </c>
      <c r="F80" s="212" t="s">
        <v>2359</v>
      </c>
      <c r="G80" s="209"/>
      <c r="H80" s="211" t="s">
        <v>3827</v>
      </c>
      <c r="I80" s="209"/>
      <c r="J80" s="209"/>
      <c r="K80" s="209"/>
      <c r="R80" s="211" t="s">
        <v>522</v>
      </c>
      <c r="BK80" s="211" t="s">
        <v>4637</v>
      </c>
      <c r="EN80" s="211" t="s">
        <v>1136</v>
      </c>
    </row>
    <row r="81" spans="1:144">
      <c r="A81" s="208"/>
      <c r="B81" s="209" t="s">
        <v>2643</v>
      </c>
      <c r="C81" s="211" t="s">
        <v>352</v>
      </c>
      <c r="D81" s="212">
        <v>13.32</v>
      </c>
      <c r="E81" s="212">
        <v>2.25</v>
      </c>
      <c r="F81" s="212" t="s">
        <v>353</v>
      </c>
      <c r="G81" s="209"/>
      <c r="H81" s="211" t="s">
        <v>3829</v>
      </c>
      <c r="I81" s="209"/>
      <c r="J81" s="209"/>
      <c r="K81" s="209"/>
      <c r="R81" s="211" t="s">
        <v>1207</v>
      </c>
      <c r="BK81" s="211" t="s">
        <v>1626</v>
      </c>
      <c r="EN81" s="211" t="s">
        <v>1157</v>
      </c>
    </row>
    <row r="82" spans="1:144">
      <c r="A82" s="208"/>
      <c r="B82" s="209" t="s">
        <v>2643</v>
      </c>
      <c r="C82" s="211" t="s">
        <v>3173</v>
      </c>
      <c r="D82" s="212">
        <v>13.99</v>
      </c>
      <c r="E82" s="212">
        <v>1.95</v>
      </c>
      <c r="F82" s="212" t="s">
        <v>321</v>
      </c>
      <c r="G82" s="209"/>
      <c r="H82" s="211" t="s">
        <v>3830</v>
      </c>
      <c r="I82" s="209"/>
      <c r="J82" s="209"/>
      <c r="K82" s="209"/>
      <c r="R82" s="211" t="s">
        <v>1208</v>
      </c>
      <c r="BK82" s="211" t="s">
        <v>1627</v>
      </c>
      <c r="EN82" s="211" t="s">
        <v>4090</v>
      </c>
    </row>
    <row r="83" spans="1:144">
      <c r="A83" s="208"/>
      <c r="B83" s="209" t="s">
        <v>2643</v>
      </c>
      <c r="C83" s="211" t="s">
        <v>3174</v>
      </c>
      <c r="D83" s="212">
        <v>13.99</v>
      </c>
      <c r="E83" s="212">
        <v>2</v>
      </c>
      <c r="F83" s="212" t="s">
        <v>321</v>
      </c>
      <c r="G83" s="209"/>
      <c r="H83" s="211" t="s">
        <v>3831</v>
      </c>
      <c r="I83" s="209"/>
      <c r="J83" s="209"/>
      <c r="K83" s="209"/>
      <c r="R83" s="211" t="s">
        <v>1209</v>
      </c>
      <c r="BK83" s="211" t="s">
        <v>5315</v>
      </c>
      <c r="EN83" s="211" t="s">
        <v>4091</v>
      </c>
    </row>
    <row r="84" spans="1:144">
      <c r="A84" s="208"/>
      <c r="B84" s="209" t="s">
        <v>2643</v>
      </c>
      <c r="C84" s="211" t="s">
        <v>1986</v>
      </c>
      <c r="D84" s="212">
        <v>13.95</v>
      </c>
      <c r="E84" s="212">
        <v>2</v>
      </c>
      <c r="F84" s="212" t="s">
        <v>343</v>
      </c>
      <c r="G84" s="209"/>
      <c r="H84" s="211" t="s">
        <v>3832</v>
      </c>
      <c r="I84" s="209"/>
      <c r="J84" s="209"/>
      <c r="K84" s="209"/>
      <c r="R84" s="211" t="s">
        <v>5576</v>
      </c>
      <c r="BK84" s="211" t="s">
        <v>3998</v>
      </c>
      <c r="EN84" s="211" t="s">
        <v>4092</v>
      </c>
    </row>
    <row r="85" spans="1:144">
      <c r="A85" s="208"/>
      <c r="B85" s="209" t="s">
        <v>2643</v>
      </c>
      <c r="C85" s="211" t="s">
        <v>3176</v>
      </c>
      <c r="D85" s="212">
        <v>14.95</v>
      </c>
      <c r="E85" s="212">
        <v>1.8</v>
      </c>
      <c r="F85" s="209" t="s">
        <v>310</v>
      </c>
      <c r="G85" s="209"/>
      <c r="H85" s="211" t="s">
        <v>3833</v>
      </c>
      <c r="I85" s="209"/>
      <c r="J85" s="209"/>
      <c r="K85" s="209"/>
      <c r="R85" s="211" t="s">
        <v>3034</v>
      </c>
      <c r="BK85" s="211" t="s">
        <v>3999</v>
      </c>
      <c r="EN85" s="211" t="s">
        <v>4094</v>
      </c>
    </row>
    <row r="86" spans="1:144">
      <c r="A86" s="208"/>
      <c r="B86" s="209" t="s">
        <v>2643</v>
      </c>
      <c r="C86" s="211" t="s">
        <v>3175</v>
      </c>
      <c r="D86" s="212">
        <v>14.95</v>
      </c>
      <c r="E86" s="212">
        <v>2.1</v>
      </c>
      <c r="F86" s="209" t="s">
        <v>310</v>
      </c>
      <c r="G86" s="209"/>
      <c r="H86" s="211" t="s">
        <v>3834</v>
      </c>
      <c r="I86" s="209"/>
      <c r="J86" s="209"/>
      <c r="K86" s="209"/>
      <c r="R86" s="211" t="s">
        <v>524</v>
      </c>
      <c r="BK86" s="211" t="s">
        <v>4000</v>
      </c>
      <c r="EN86" s="211" t="s">
        <v>4095</v>
      </c>
    </row>
    <row r="87" spans="1:144">
      <c r="A87" s="208"/>
      <c r="B87" s="209" t="s">
        <v>2643</v>
      </c>
      <c r="C87" s="211" t="s">
        <v>3177</v>
      </c>
      <c r="D87" s="209" t="s">
        <v>1659</v>
      </c>
      <c r="E87" s="212">
        <v>2</v>
      </c>
      <c r="F87" s="212" t="s">
        <v>343</v>
      </c>
      <c r="G87" s="209"/>
      <c r="H87" s="211" t="s">
        <v>3835</v>
      </c>
      <c r="I87" s="209"/>
      <c r="J87" s="209"/>
      <c r="K87" s="209"/>
      <c r="R87" s="211" t="s">
        <v>3035</v>
      </c>
      <c r="BK87" s="211" t="s">
        <v>4001</v>
      </c>
      <c r="EN87" s="211" t="s">
        <v>4096</v>
      </c>
    </row>
    <row r="88" spans="1:144">
      <c r="A88" s="208"/>
      <c r="B88" s="209" t="s">
        <v>2643</v>
      </c>
      <c r="C88" s="211" t="s">
        <v>354</v>
      </c>
      <c r="D88" s="209" t="s">
        <v>1659</v>
      </c>
      <c r="E88" s="212">
        <v>2.1</v>
      </c>
      <c r="F88" s="212" t="s">
        <v>2347</v>
      </c>
      <c r="G88" s="209"/>
      <c r="H88" s="211" t="s">
        <v>3836</v>
      </c>
      <c r="I88" s="209"/>
      <c r="J88" s="209"/>
      <c r="K88" s="209"/>
      <c r="R88" s="211" t="s">
        <v>3036</v>
      </c>
      <c r="BK88" s="211" t="s">
        <v>4002</v>
      </c>
      <c r="EN88" s="211" t="s">
        <v>4097</v>
      </c>
    </row>
    <row r="89" spans="1:144">
      <c r="A89" s="208"/>
      <c r="B89" s="209" t="s">
        <v>2643</v>
      </c>
      <c r="C89" s="211" t="s">
        <v>1656</v>
      </c>
      <c r="D89" s="209" t="s">
        <v>1659</v>
      </c>
      <c r="E89" s="209" t="s">
        <v>1660</v>
      </c>
      <c r="F89" s="209" t="s">
        <v>2348</v>
      </c>
      <c r="G89" s="209"/>
      <c r="H89" s="211" t="s">
        <v>3837</v>
      </c>
      <c r="I89" s="212"/>
      <c r="J89" s="212"/>
      <c r="K89" s="212"/>
      <c r="R89" s="211" t="s">
        <v>3037</v>
      </c>
      <c r="BK89" s="211" t="s">
        <v>4003</v>
      </c>
      <c r="EN89" s="211" t="s">
        <v>780</v>
      </c>
    </row>
    <row r="90" spans="1:144">
      <c r="A90" s="208"/>
      <c r="B90" s="209" t="s">
        <v>2643</v>
      </c>
      <c r="C90" s="211" t="s">
        <v>1657</v>
      </c>
      <c r="D90" s="209" t="s">
        <v>1661</v>
      </c>
      <c r="E90" s="209" t="s">
        <v>1662</v>
      </c>
      <c r="F90" s="209" t="s">
        <v>2346</v>
      </c>
      <c r="G90" s="209"/>
      <c r="H90" s="211" t="s">
        <v>3838</v>
      </c>
      <c r="I90" s="212"/>
      <c r="J90" s="212"/>
      <c r="K90" s="212"/>
      <c r="R90" s="211" t="s">
        <v>3038</v>
      </c>
      <c r="BK90" s="211" t="s">
        <v>4004</v>
      </c>
      <c r="EN90" s="211" t="s">
        <v>4098</v>
      </c>
    </row>
    <row r="91" spans="1:144">
      <c r="A91" s="208"/>
      <c r="B91" s="209" t="s">
        <v>2643</v>
      </c>
      <c r="C91" s="211" t="s">
        <v>1663</v>
      </c>
      <c r="D91" s="209" t="s">
        <v>1664</v>
      </c>
      <c r="E91" s="209" t="s">
        <v>1665</v>
      </c>
      <c r="F91" s="209" t="s">
        <v>3000</v>
      </c>
      <c r="G91" s="212"/>
      <c r="H91" s="211" t="s">
        <v>3839</v>
      </c>
      <c r="I91" s="209"/>
      <c r="J91" s="209"/>
      <c r="K91" s="209"/>
      <c r="R91" s="211" t="s">
        <v>3039</v>
      </c>
      <c r="BK91" s="211" t="s">
        <v>4005</v>
      </c>
      <c r="EN91" s="211" t="s">
        <v>4099</v>
      </c>
    </row>
    <row r="92" spans="1:144">
      <c r="A92" s="208"/>
      <c r="B92" s="209" t="s">
        <v>2644</v>
      </c>
      <c r="C92" s="211" t="s">
        <v>758</v>
      </c>
      <c r="D92" s="212">
        <v>7.53</v>
      </c>
      <c r="E92" s="212">
        <v>1.58</v>
      </c>
      <c r="F92" s="209" t="s">
        <v>2339</v>
      </c>
      <c r="G92" s="212"/>
      <c r="H92" s="211" t="s">
        <v>3840</v>
      </c>
      <c r="I92" s="209"/>
      <c r="J92" s="209"/>
      <c r="K92" s="209"/>
      <c r="R92" s="211" t="s">
        <v>3040</v>
      </c>
      <c r="BK92" s="211" t="s">
        <v>4006</v>
      </c>
      <c r="EN92" s="211" t="s">
        <v>4100</v>
      </c>
    </row>
    <row r="93" spans="1:144">
      <c r="A93" s="208"/>
      <c r="B93" s="209" t="s">
        <v>2644</v>
      </c>
      <c r="C93" s="211" t="s">
        <v>355</v>
      </c>
      <c r="D93" s="212">
        <v>14.98</v>
      </c>
      <c r="E93" s="212">
        <v>1.8</v>
      </c>
      <c r="F93" s="212" t="s">
        <v>319</v>
      </c>
      <c r="G93" s="209"/>
      <c r="H93" s="211" t="s">
        <v>3841</v>
      </c>
      <c r="I93" s="209"/>
      <c r="J93" s="209"/>
      <c r="K93" s="209"/>
      <c r="R93" s="211" t="s">
        <v>1210</v>
      </c>
      <c r="BK93" s="211" t="s">
        <v>990</v>
      </c>
      <c r="EN93" s="211" t="s">
        <v>4101</v>
      </c>
    </row>
    <row r="94" spans="1:144">
      <c r="A94" s="208" t="s">
        <v>2342</v>
      </c>
      <c r="B94" s="209" t="s">
        <v>2644</v>
      </c>
      <c r="C94" s="211" t="s">
        <v>1374</v>
      </c>
      <c r="D94" s="212">
        <v>14.98</v>
      </c>
      <c r="E94" s="212">
        <v>1.8</v>
      </c>
      <c r="F94" s="212" t="s">
        <v>319</v>
      </c>
      <c r="G94" s="209"/>
      <c r="H94" s="211" t="s">
        <v>2234</v>
      </c>
      <c r="I94" s="209"/>
      <c r="J94" s="209"/>
      <c r="K94" s="209"/>
      <c r="R94" s="211" t="s">
        <v>1211</v>
      </c>
      <c r="BK94" s="211" t="s">
        <v>49</v>
      </c>
      <c r="EN94" s="211" t="s">
        <v>781</v>
      </c>
    </row>
    <row r="95" spans="1:144">
      <c r="A95" s="208"/>
      <c r="B95" s="209" t="s">
        <v>2644</v>
      </c>
      <c r="C95" s="211" t="s">
        <v>1373</v>
      </c>
      <c r="D95" s="212">
        <v>14.93</v>
      </c>
      <c r="E95" s="212">
        <v>3.05</v>
      </c>
      <c r="F95" s="212" t="s">
        <v>319</v>
      </c>
      <c r="G95" s="209"/>
      <c r="H95" s="211" t="s">
        <v>3842</v>
      </c>
      <c r="I95" s="209"/>
      <c r="J95" s="209"/>
      <c r="K95" s="209"/>
      <c r="R95" s="211" t="s">
        <v>4082</v>
      </c>
      <c r="EN95" s="211" t="s">
        <v>4104</v>
      </c>
    </row>
    <row r="96" spans="1:144">
      <c r="A96" s="208"/>
      <c r="B96" s="209" t="s">
        <v>2644</v>
      </c>
      <c r="C96" s="211" t="s">
        <v>356</v>
      </c>
      <c r="D96" s="212">
        <v>14.98</v>
      </c>
      <c r="E96" s="212">
        <v>2.2999999999999998</v>
      </c>
      <c r="F96" s="212" t="s">
        <v>319</v>
      </c>
      <c r="G96" s="209"/>
      <c r="H96" s="211" t="s">
        <v>3843</v>
      </c>
      <c r="I96" s="209"/>
      <c r="J96" s="209"/>
      <c r="K96" s="209"/>
      <c r="R96" s="211" t="s">
        <v>4083</v>
      </c>
      <c r="EN96" s="211" t="s">
        <v>4114</v>
      </c>
    </row>
    <row r="97" spans="1:144">
      <c r="A97" s="208"/>
      <c r="B97" s="209" t="s">
        <v>2644</v>
      </c>
      <c r="C97" s="211" t="s">
        <v>1375</v>
      </c>
      <c r="D97" s="212">
        <v>17.2</v>
      </c>
      <c r="E97" s="212">
        <v>2.6</v>
      </c>
      <c r="F97" s="212" t="s">
        <v>2345</v>
      </c>
      <c r="G97" s="209"/>
      <c r="H97" s="211" t="s">
        <v>3844</v>
      </c>
      <c r="I97" s="212"/>
      <c r="J97" s="212"/>
      <c r="K97" s="212"/>
      <c r="R97" s="211" t="s">
        <v>5422</v>
      </c>
      <c r="EN97" s="211" t="s">
        <v>4119</v>
      </c>
    </row>
    <row r="98" spans="1:144">
      <c r="A98" s="208"/>
      <c r="B98" s="209" t="s">
        <v>2644</v>
      </c>
      <c r="C98" s="211" t="s">
        <v>2960</v>
      </c>
      <c r="D98" s="212">
        <v>11.71</v>
      </c>
      <c r="E98" s="212">
        <v>1.9</v>
      </c>
      <c r="F98" s="209" t="s">
        <v>2348</v>
      </c>
      <c r="G98" s="209"/>
      <c r="H98" s="211" t="s">
        <v>3845</v>
      </c>
      <c r="I98" s="212"/>
      <c r="J98" s="212"/>
      <c r="K98" s="212"/>
      <c r="R98" s="211" t="s">
        <v>5423</v>
      </c>
      <c r="EN98" s="211" t="s">
        <v>4124</v>
      </c>
    </row>
    <row r="99" spans="1:144">
      <c r="A99" s="208"/>
      <c r="B99" s="209" t="s">
        <v>2644</v>
      </c>
      <c r="C99" s="211" t="s">
        <v>2961</v>
      </c>
      <c r="D99" s="212">
        <v>12.94</v>
      </c>
      <c r="E99" s="212">
        <v>1.9</v>
      </c>
      <c r="F99" s="209" t="s">
        <v>2362</v>
      </c>
      <c r="G99" s="212"/>
      <c r="H99" s="211" t="s">
        <v>3912</v>
      </c>
      <c r="I99" s="212"/>
      <c r="J99" s="212"/>
      <c r="K99" s="212"/>
      <c r="R99" s="211" t="s">
        <v>4084</v>
      </c>
      <c r="EN99" s="211" t="s">
        <v>4125</v>
      </c>
    </row>
    <row r="100" spans="1:144">
      <c r="A100" s="208"/>
      <c r="B100" s="209" t="s">
        <v>2644</v>
      </c>
      <c r="C100" s="211" t="s">
        <v>1174</v>
      </c>
      <c r="D100" s="212">
        <v>6.25</v>
      </c>
      <c r="E100" s="212">
        <v>1.8</v>
      </c>
      <c r="F100" s="212" t="s">
        <v>2347</v>
      </c>
      <c r="G100" s="212"/>
      <c r="H100" s="211" t="s">
        <v>3847</v>
      </c>
      <c r="I100" s="209"/>
      <c r="J100" s="209"/>
      <c r="K100" s="209"/>
      <c r="R100" s="211" t="s">
        <v>4085</v>
      </c>
      <c r="EN100" s="211" t="s">
        <v>4126</v>
      </c>
    </row>
    <row r="101" spans="1:144">
      <c r="A101" s="208"/>
      <c r="B101" s="209" t="s">
        <v>2644</v>
      </c>
      <c r="C101" s="211" t="s">
        <v>1175</v>
      </c>
      <c r="D101" s="212">
        <v>6.2</v>
      </c>
      <c r="E101" s="209" t="s">
        <v>305</v>
      </c>
      <c r="F101" s="212" t="s">
        <v>3539</v>
      </c>
      <c r="G101" s="212"/>
      <c r="H101" s="211" t="s">
        <v>3848</v>
      </c>
      <c r="I101" s="212"/>
      <c r="J101" s="212"/>
      <c r="K101" s="212"/>
      <c r="R101" s="211" t="s">
        <v>4086</v>
      </c>
      <c r="EN101" s="211" t="s">
        <v>4013</v>
      </c>
    </row>
    <row r="102" spans="1:144">
      <c r="A102" s="208"/>
      <c r="B102" s="209" t="s">
        <v>2644</v>
      </c>
      <c r="C102" s="211" t="s">
        <v>1176</v>
      </c>
      <c r="D102" s="212">
        <v>6.2</v>
      </c>
      <c r="E102" s="212">
        <v>1.8</v>
      </c>
      <c r="F102" s="212" t="s">
        <v>3539</v>
      </c>
      <c r="G102" s="209"/>
      <c r="H102" s="211" t="s">
        <v>3849</v>
      </c>
      <c r="I102" s="212"/>
      <c r="J102" s="212"/>
      <c r="K102" s="212"/>
      <c r="R102" s="211" t="s">
        <v>4087</v>
      </c>
      <c r="EN102" s="211" t="s">
        <v>528</v>
      </c>
    </row>
    <row r="103" spans="1:144">
      <c r="A103" s="208"/>
      <c r="B103" s="209" t="s">
        <v>2644</v>
      </c>
      <c r="C103" s="211" t="s">
        <v>1177</v>
      </c>
      <c r="D103" s="212">
        <v>6.25</v>
      </c>
      <c r="E103" s="209" t="s">
        <v>305</v>
      </c>
      <c r="F103" s="212" t="s">
        <v>306</v>
      </c>
      <c r="G103" s="212"/>
      <c r="H103" s="211" t="s">
        <v>3913</v>
      </c>
      <c r="I103" s="209"/>
      <c r="J103" s="209"/>
      <c r="K103" s="209"/>
      <c r="R103" s="211" t="s">
        <v>512</v>
      </c>
      <c r="EN103" s="211" t="s">
        <v>4014</v>
      </c>
    </row>
    <row r="104" spans="1:144">
      <c r="A104" s="208"/>
      <c r="B104" s="209" t="s">
        <v>2644</v>
      </c>
      <c r="C104" s="211" t="s">
        <v>1178</v>
      </c>
      <c r="D104" s="212">
        <v>7.5</v>
      </c>
      <c r="E104" s="212">
        <v>1.31</v>
      </c>
      <c r="F104" s="212" t="s">
        <v>2370</v>
      </c>
      <c r="G104" s="212"/>
      <c r="H104" s="211" t="s">
        <v>709</v>
      </c>
      <c r="I104" s="209"/>
      <c r="J104" s="209"/>
      <c r="K104" s="209"/>
      <c r="R104" s="211" t="s">
        <v>513</v>
      </c>
      <c r="EN104" s="211" t="s">
        <v>2075</v>
      </c>
    </row>
    <row r="105" spans="1:144">
      <c r="A105" s="208"/>
      <c r="B105" s="209" t="s">
        <v>2644</v>
      </c>
      <c r="C105" s="211" t="s">
        <v>1179</v>
      </c>
      <c r="D105" s="212">
        <v>7.5</v>
      </c>
      <c r="E105" s="209" t="s">
        <v>305</v>
      </c>
      <c r="F105" s="212" t="s">
        <v>2370</v>
      </c>
      <c r="G105" s="209"/>
      <c r="H105" s="211" t="s">
        <v>708</v>
      </c>
      <c r="I105" s="209"/>
      <c r="J105" s="209"/>
      <c r="K105" s="209"/>
      <c r="R105" s="211" t="s">
        <v>4088</v>
      </c>
      <c r="EN105" s="211" t="s">
        <v>4015</v>
      </c>
    </row>
    <row r="106" spans="1:144">
      <c r="A106" s="208"/>
      <c r="B106" s="209" t="s">
        <v>2644</v>
      </c>
      <c r="C106" s="211" t="s">
        <v>1180</v>
      </c>
      <c r="D106" s="212">
        <v>7.5</v>
      </c>
      <c r="E106" s="209" t="s">
        <v>305</v>
      </c>
      <c r="F106" s="212" t="s">
        <v>2347</v>
      </c>
      <c r="G106" s="209"/>
      <c r="H106" s="211" t="s">
        <v>710</v>
      </c>
      <c r="I106" s="209"/>
      <c r="J106" s="209"/>
      <c r="K106" s="209"/>
      <c r="R106" s="211" t="s">
        <v>4089</v>
      </c>
      <c r="EN106" s="211" t="s">
        <v>4016</v>
      </c>
    </row>
    <row r="107" spans="1:144">
      <c r="A107" s="208"/>
      <c r="B107" s="209" t="s">
        <v>2644</v>
      </c>
      <c r="C107" s="211" t="s">
        <v>1181</v>
      </c>
      <c r="D107" s="212">
        <v>7.7</v>
      </c>
      <c r="E107" s="212">
        <v>1.32</v>
      </c>
      <c r="F107" s="212" t="s">
        <v>306</v>
      </c>
      <c r="G107" s="209"/>
      <c r="H107" s="211" t="s">
        <v>711</v>
      </c>
      <c r="I107" s="212"/>
      <c r="J107" s="212"/>
      <c r="K107" s="212"/>
      <c r="R107" s="211" t="s">
        <v>428</v>
      </c>
      <c r="EN107" s="211" t="s">
        <v>4017</v>
      </c>
    </row>
    <row r="108" spans="1:144">
      <c r="A108" s="208"/>
      <c r="B108" s="209" t="s">
        <v>2644</v>
      </c>
      <c r="C108" s="211" t="s">
        <v>1182</v>
      </c>
      <c r="D108" s="212">
        <v>7.7</v>
      </c>
      <c r="E108" s="209" t="s">
        <v>305</v>
      </c>
      <c r="F108" s="212" t="s">
        <v>306</v>
      </c>
      <c r="G108" s="209"/>
      <c r="H108" s="211" t="s">
        <v>712</v>
      </c>
      <c r="I108" s="212"/>
      <c r="J108" s="212"/>
      <c r="K108" s="212"/>
      <c r="R108" s="211" t="s">
        <v>2547</v>
      </c>
      <c r="EN108" s="211" t="s">
        <v>4018</v>
      </c>
    </row>
    <row r="109" spans="1:144">
      <c r="A109" s="208"/>
      <c r="B109" s="209" t="s">
        <v>2644</v>
      </c>
      <c r="C109" s="211" t="s">
        <v>1183</v>
      </c>
      <c r="D109" s="212">
        <v>7.5</v>
      </c>
      <c r="E109" s="212">
        <v>1.45</v>
      </c>
      <c r="F109" s="212" t="s">
        <v>319</v>
      </c>
      <c r="G109" s="212"/>
      <c r="H109" s="211" t="s">
        <v>713</v>
      </c>
      <c r="I109" s="209"/>
      <c r="J109" s="209"/>
      <c r="K109" s="209"/>
      <c r="R109" s="211" t="s">
        <v>2548</v>
      </c>
      <c r="EN109" s="211" t="s">
        <v>4019</v>
      </c>
    </row>
    <row r="110" spans="1:144">
      <c r="A110" s="208"/>
      <c r="B110" s="209" t="s">
        <v>2644</v>
      </c>
      <c r="C110" s="211" t="s">
        <v>1184</v>
      </c>
      <c r="D110" s="212">
        <v>7.5</v>
      </c>
      <c r="E110" s="212">
        <v>1.85</v>
      </c>
      <c r="F110" s="212" t="s">
        <v>319</v>
      </c>
      <c r="G110" s="212"/>
      <c r="H110" s="211" t="s">
        <v>714</v>
      </c>
      <c r="I110" s="209"/>
      <c r="J110" s="209"/>
      <c r="K110" s="209"/>
      <c r="R110" s="211" t="s">
        <v>2549</v>
      </c>
      <c r="EN110" s="211" t="s">
        <v>4037</v>
      </c>
    </row>
    <row r="111" spans="1:144">
      <c r="A111" s="208"/>
      <c r="B111" s="209" t="s">
        <v>2644</v>
      </c>
      <c r="C111" s="211" t="s">
        <v>1185</v>
      </c>
      <c r="D111" s="212">
        <v>7.5</v>
      </c>
      <c r="E111" s="209" t="s">
        <v>305</v>
      </c>
      <c r="F111" s="212" t="s">
        <v>319</v>
      </c>
      <c r="G111" s="209"/>
      <c r="H111" s="211" t="s">
        <v>715</v>
      </c>
      <c r="I111" s="212"/>
      <c r="J111" s="212"/>
      <c r="K111" s="212"/>
      <c r="R111" s="211" t="s">
        <v>2550</v>
      </c>
      <c r="EN111" s="211" t="s">
        <v>4038</v>
      </c>
    </row>
    <row r="112" spans="1:144">
      <c r="A112" s="208"/>
      <c r="B112" s="209" t="s">
        <v>2644</v>
      </c>
      <c r="C112" s="211" t="s">
        <v>1186</v>
      </c>
      <c r="D112" s="212">
        <v>8.3000000000000007</v>
      </c>
      <c r="E112" s="209" t="s">
        <v>305</v>
      </c>
      <c r="F112" s="212" t="s">
        <v>310</v>
      </c>
      <c r="G112" s="209"/>
      <c r="H112" s="211" t="s">
        <v>716</v>
      </c>
      <c r="I112" s="212"/>
      <c r="J112" s="212"/>
      <c r="K112" s="212"/>
      <c r="R112" s="211" t="s">
        <v>2551</v>
      </c>
      <c r="EN112" s="211" t="s">
        <v>5323</v>
      </c>
    </row>
    <row r="113" spans="1:144">
      <c r="A113" s="208"/>
      <c r="B113" s="209" t="s">
        <v>2644</v>
      </c>
      <c r="C113" s="211" t="s">
        <v>1187</v>
      </c>
      <c r="D113" s="212">
        <v>8.3000000000000007</v>
      </c>
      <c r="E113" s="212">
        <v>1.8</v>
      </c>
      <c r="F113" s="212" t="s">
        <v>310</v>
      </c>
      <c r="G113" s="212"/>
      <c r="H113" s="211" t="s">
        <v>717</v>
      </c>
      <c r="I113" s="209"/>
      <c r="J113" s="209"/>
      <c r="K113" s="209"/>
      <c r="R113" s="211" t="s">
        <v>5596</v>
      </c>
      <c r="EN113" s="211" t="s">
        <v>4041</v>
      </c>
    </row>
    <row r="114" spans="1:144">
      <c r="A114" s="208"/>
      <c r="B114" s="209" t="s">
        <v>2644</v>
      </c>
      <c r="C114" s="211" t="s">
        <v>1188</v>
      </c>
      <c r="D114" s="212">
        <v>8.6</v>
      </c>
      <c r="E114" s="212">
        <v>1.72</v>
      </c>
      <c r="F114" s="212" t="s">
        <v>2370</v>
      </c>
      <c r="G114" s="212"/>
      <c r="H114" s="211" t="s">
        <v>450</v>
      </c>
      <c r="I114" s="212"/>
      <c r="J114" s="212"/>
      <c r="K114" s="212"/>
      <c r="R114" s="211" t="s">
        <v>3042</v>
      </c>
      <c r="EN114" s="211" t="s">
        <v>4042</v>
      </c>
    </row>
    <row r="115" spans="1:144">
      <c r="A115" s="208"/>
      <c r="B115" s="209" t="s">
        <v>2644</v>
      </c>
      <c r="C115" s="211" t="s">
        <v>1189</v>
      </c>
      <c r="D115" s="212">
        <v>8.42</v>
      </c>
      <c r="E115" s="212">
        <v>1.6</v>
      </c>
      <c r="F115" s="212" t="s">
        <v>2980</v>
      </c>
      <c r="G115" s="209"/>
      <c r="H115" s="211" t="s">
        <v>718</v>
      </c>
      <c r="I115" s="212"/>
      <c r="J115" s="212"/>
      <c r="K115" s="212"/>
      <c r="R115" s="211" t="s">
        <v>3041</v>
      </c>
      <c r="EN115" s="211" t="s">
        <v>4682</v>
      </c>
    </row>
    <row r="116" spans="1:144">
      <c r="A116" s="208"/>
      <c r="B116" s="209" t="s">
        <v>2644</v>
      </c>
      <c r="C116" s="211" t="s">
        <v>1190</v>
      </c>
      <c r="D116" s="212">
        <v>8.42</v>
      </c>
      <c r="E116" s="212">
        <v>1.2</v>
      </c>
      <c r="F116" s="212" t="s">
        <v>2980</v>
      </c>
      <c r="G116" s="212"/>
      <c r="H116" s="211" t="s">
        <v>719</v>
      </c>
      <c r="I116" s="209"/>
      <c r="J116" s="209"/>
      <c r="K116" s="209"/>
      <c r="R116" s="211" t="s">
        <v>2552</v>
      </c>
      <c r="EN116" s="211" t="s">
        <v>4201</v>
      </c>
    </row>
    <row r="117" spans="1:144">
      <c r="A117" s="208"/>
      <c r="B117" s="209" t="s">
        <v>2644</v>
      </c>
      <c r="C117" s="211" t="s">
        <v>1376</v>
      </c>
      <c r="D117" s="209" t="s">
        <v>519</v>
      </c>
      <c r="E117" s="212">
        <v>1.4</v>
      </c>
      <c r="F117" s="212" t="s">
        <v>306</v>
      </c>
      <c r="G117" s="212"/>
      <c r="H117" s="211" t="s">
        <v>722</v>
      </c>
      <c r="I117" s="212"/>
      <c r="J117" s="212"/>
      <c r="K117" s="212"/>
      <c r="R117" s="211" t="s">
        <v>2553</v>
      </c>
      <c r="EN117" s="211" t="s">
        <v>531</v>
      </c>
    </row>
    <row r="118" spans="1:144">
      <c r="A118" s="208"/>
      <c r="B118" s="209" t="s">
        <v>2644</v>
      </c>
      <c r="C118" s="211" t="s">
        <v>517</v>
      </c>
      <c r="D118" s="209" t="s">
        <v>519</v>
      </c>
      <c r="E118" s="209" t="s">
        <v>518</v>
      </c>
      <c r="F118" s="212" t="s">
        <v>306</v>
      </c>
      <c r="G118" s="209"/>
      <c r="H118" s="211" t="s">
        <v>721</v>
      </c>
      <c r="I118" s="212"/>
      <c r="J118" s="212"/>
      <c r="K118" s="212"/>
      <c r="R118" s="211" t="s">
        <v>2554</v>
      </c>
      <c r="EN118" s="211" t="s">
        <v>4203</v>
      </c>
    </row>
    <row r="119" spans="1:144">
      <c r="A119" s="208"/>
      <c r="B119" s="209" t="s">
        <v>2644</v>
      </c>
      <c r="C119" s="211" t="s">
        <v>1191</v>
      </c>
      <c r="D119" s="212">
        <v>9.4600000000000009</v>
      </c>
      <c r="E119" s="212">
        <v>1.92</v>
      </c>
      <c r="F119" s="209" t="s">
        <v>314</v>
      </c>
      <c r="G119" s="212"/>
      <c r="H119" s="211" t="s">
        <v>723</v>
      </c>
      <c r="I119" s="212"/>
      <c r="J119" s="212"/>
      <c r="K119" s="212"/>
      <c r="R119" s="211" t="s">
        <v>2555</v>
      </c>
      <c r="EN119" s="211" t="s">
        <v>4208</v>
      </c>
    </row>
    <row r="120" spans="1:144">
      <c r="A120" s="208"/>
      <c r="B120" s="209" t="s">
        <v>2644</v>
      </c>
      <c r="C120" s="211" t="s">
        <v>511</v>
      </c>
      <c r="D120" s="209" t="s">
        <v>509</v>
      </c>
      <c r="E120" s="209" t="s">
        <v>510</v>
      </c>
      <c r="F120" s="209" t="s">
        <v>1113</v>
      </c>
      <c r="G120" s="212"/>
      <c r="H120" s="211" t="s">
        <v>724</v>
      </c>
      <c r="I120" s="212"/>
      <c r="J120" s="212"/>
      <c r="K120" s="212"/>
      <c r="R120" s="211" t="s">
        <v>3044</v>
      </c>
      <c r="EN120" s="211" t="s">
        <v>4212</v>
      </c>
    </row>
    <row r="121" spans="1:144">
      <c r="A121" s="208"/>
      <c r="B121" s="209" t="s">
        <v>2644</v>
      </c>
      <c r="C121" s="211" t="s">
        <v>1192</v>
      </c>
      <c r="D121" s="212">
        <v>8.98</v>
      </c>
      <c r="E121" s="212">
        <v>1.82</v>
      </c>
      <c r="F121" s="212" t="s">
        <v>2341</v>
      </c>
      <c r="G121" s="212"/>
      <c r="H121" s="211" t="s">
        <v>2874</v>
      </c>
      <c r="I121" s="212"/>
      <c r="J121" s="212"/>
      <c r="K121" s="212"/>
      <c r="R121" s="211" t="s">
        <v>3043</v>
      </c>
      <c r="EN121" s="211" t="s">
        <v>4213</v>
      </c>
    </row>
    <row r="122" spans="1:144">
      <c r="A122" s="208"/>
      <c r="B122" s="209" t="s">
        <v>2644</v>
      </c>
      <c r="C122" s="211" t="s">
        <v>1193</v>
      </c>
      <c r="D122" s="212">
        <v>9.35</v>
      </c>
      <c r="E122" s="212">
        <v>1.75</v>
      </c>
      <c r="F122" s="212" t="s">
        <v>332</v>
      </c>
      <c r="G122" s="212"/>
      <c r="H122" s="211" t="s">
        <v>725</v>
      </c>
      <c r="I122" s="209"/>
      <c r="J122" s="209"/>
      <c r="K122" s="209"/>
      <c r="R122" s="211" t="s">
        <v>2556</v>
      </c>
      <c r="EN122" s="211" t="s">
        <v>4214</v>
      </c>
    </row>
    <row r="123" spans="1:144">
      <c r="A123" s="208"/>
      <c r="B123" s="209" t="s">
        <v>2644</v>
      </c>
      <c r="C123" s="211" t="s">
        <v>1194</v>
      </c>
      <c r="D123" s="209" t="s">
        <v>2040</v>
      </c>
      <c r="E123" s="212">
        <v>1.7</v>
      </c>
      <c r="F123" s="212" t="s">
        <v>3508</v>
      </c>
      <c r="G123" s="212"/>
      <c r="H123" s="211" t="s">
        <v>726</v>
      </c>
      <c r="I123" s="209"/>
      <c r="J123" s="209"/>
      <c r="K123" s="209"/>
      <c r="R123" s="211" t="s">
        <v>2557</v>
      </c>
      <c r="EN123" s="211" t="s">
        <v>4626</v>
      </c>
    </row>
    <row r="124" spans="1:144">
      <c r="A124" s="208"/>
      <c r="B124" s="209" t="s">
        <v>2644</v>
      </c>
      <c r="C124" s="211" t="s">
        <v>1195</v>
      </c>
      <c r="D124" s="212">
        <v>9.48</v>
      </c>
      <c r="E124" s="212">
        <v>1.9</v>
      </c>
      <c r="F124" s="212" t="s">
        <v>2344</v>
      </c>
      <c r="G124" s="209"/>
      <c r="H124" s="211" t="s">
        <v>1394</v>
      </c>
      <c r="I124" s="209"/>
      <c r="J124" s="209"/>
      <c r="K124" s="209"/>
      <c r="R124" s="211" t="s">
        <v>5399</v>
      </c>
      <c r="EN124" s="211" t="s">
        <v>4215</v>
      </c>
    </row>
    <row r="125" spans="1:144">
      <c r="A125" s="208"/>
      <c r="B125" s="209" t="s">
        <v>2644</v>
      </c>
      <c r="C125" s="211" t="s">
        <v>1196</v>
      </c>
      <c r="D125" s="212">
        <v>9.48</v>
      </c>
      <c r="E125" s="212">
        <v>1.91</v>
      </c>
      <c r="F125" s="212" t="s">
        <v>2344</v>
      </c>
      <c r="G125" s="209"/>
      <c r="H125" s="211" t="s">
        <v>728</v>
      </c>
      <c r="I125" s="209"/>
      <c r="J125" s="209"/>
      <c r="K125" s="209"/>
      <c r="R125" s="211" t="s">
        <v>5604</v>
      </c>
      <c r="EN125" s="211" t="s">
        <v>4216</v>
      </c>
    </row>
    <row r="126" spans="1:144">
      <c r="A126" s="208"/>
      <c r="B126" s="209" t="s">
        <v>2644</v>
      </c>
      <c r="C126" s="211" t="s">
        <v>1377</v>
      </c>
      <c r="D126" s="209" t="s">
        <v>2041</v>
      </c>
      <c r="E126" s="212">
        <v>1.3</v>
      </c>
      <c r="F126" s="212" t="s">
        <v>2377</v>
      </c>
      <c r="G126" s="209"/>
      <c r="H126" s="211" t="s">
        <v>1395</v>
      </c>
      <c r="I126" s="209"/>
      <c r="J126" s="209"/>
      <c r="K126" s="209"/>
      <c r="R126" s="211" t="s">
        <v>4661</v>
      </c>
      <c r="EN126" s="211" t="s">
        <v>3354</v>
      </c>
    </row>
    <row r="127" spans="1:144">
      <c r="A127" s="208"/>
      <c r="B127" s="209" t="s">
        <v>2644</v>
      </c>
      <c r="C127" s="211" t="s">
        <v>1378</v>
      </c>
      <c r="D127" s="209" t="s">
        <v>2041</v>
      </c>
      <c r="E127" s="212">
        <v>1.8</v>
      </c>
      <c r="F127" s="212" t="s">
        <v>2340</v>
      </c>
      <c r="G127" s="209"/>
      <c r="H127" s="211" t="s">
        <v>731</v>
      </c>
      <c r="I127" s="209"/>
      <c r="J127" s="209"/>
      <c r="K127" s="209"/>
      <c r="R127" s="211" t="s">
        <v>3045</v>
      </c>
      <c r="EN127" s="211" t="s">
        <v>3357</v>
      </c>
    </row>
    <row r="128" spans="1:144">
      <c r="A128" s="208"/>
      <c r="B128" s="209" t="s">
        <v>2644</v>
      </c>
      <c r="C128" s="211" t="s">
        <v>5638</v>
      </c>
      <c r="D128" s="209" t="s">
        <v>1988</v>
      </c>
      <c r="E128" s="212">
        <v>1.82</v>
      </c>
      <c r="F128" s="212" t="s">
        <v>326</v>
      </c>
      <c r="G128" s="209"/>
      <c r="H128" s="211" t="s">
        <v>732</v>
      </c>
      <c r="I128" s="212"/>
      <c r="J128" s="212"/>
      <c r="K128" s="212"/>
      <c r="R128" s="211" t="s">
        <v>3046</v>
      </c>
      <c r="EN128" s="211" t="s">
        <v>3361</v>
      </c>
    </row>
    <row r="129" spans="1:144">
      <c r="A129" s="208"/>
      <c r="B129" s="209" t="s">
        <v>2644</v>
      </c>
      <c r="C129" s="211" t="s">
        <v>1197</v>
      </c>
      <c r="D129" s="212">
        <v>9.8000000000000007</v>
      </c>
      <c r="E129" s="212">
        <v>1.85</v>
      </c>
      <c r="F129" s="212" t="s">
        <v>332</v>
      </c>
      <c r="G129" s="209"/>
      <c r="H129" s="211" t="s">
        <v>729</v>
      </c>
      <c r="I129" s="209"/>
      <c r="J129" s="209"/>
      <c r="K129" s="209"/>
      <c r="R129" s="211" t="s">
        <v>2558</v>
      </c>
      <c r="EN129" s="211" t="s">
        <v>3372</v>
      </c>
    </row>
    <row r="130" spans="1:144">
      <c r="A130" s="208"/>
      <c r="B130" s="209" t="s">
        <v>2644</v>
      </c>
      <c r="C130" s="211" t="s">
        <v>1379</v>
      </c>
      <c r="D130" s="209" t="s">
        <v>2042</v>
      </c>
      <c r="E130" s="212">
        <v>1.7</v>
      </c>
      <c r="F130" s="212" t="s">
        <v>329</v>
      </c>
      <c r="G130" s="212"/>
      <c r="H130" s="211" t="s">
        <v>5324</v>
      </c>
      <c r="I130" s="209"/>
      <c r="J130" s="209"/>
      <c r="K130" s="209"/>
      <c r="R130" s="211" t="s">
        <v>431</v>
      </c>
      <c r="EN130" s="211" t="s">
        <v>3373</v>
      </c>
    </row>
    <row r="131" spans="1:144">
      <c r="A131" s="208"/>
      <c r="B131" s="209" t="s">
        <v>2644</v>
      </c>
      <c r="C131" s="211" t="s">
        <v>1380</v>
      </c>
      <c r="D131" s="209" t="s">
        <v>2042</v>
      </c>
      <c r="E131" s="212">
        <v>1.8</v>
      </c>
      <c r="F131" s="212" t="s">
        <v>329</v>
      </c>
      <c r="G131" s="209"/>
      <c r="H131" s="211" t="s">
        <v>733</v>
      </c>
      <c r="I131" s="212"/>
      <c r="J131" s="212"/>
      <c r="K131" s="212"/>
      <c r="R131" s="211" t="s">
        <v>430</v>
      </c>
      <c r="EN131" s="211" t="s">
        <v>3374</v>
      </c>
    </row>
    <row r="132" spans="1:144">
      <c r="A132" s="208"/>
      <c r="B132" s="209" t="s">
        <v>2644</v>
      </c>
      <c r="C132" s="211" t="s">
        <v>1198</v>
      </c>
      <c r="D132" s="209" t="s">
        <v>2042</v>
      </c>
      <c r="E132" s="212">
        <v>1.35</v>
      </c>
      <c r="F132" s="212" t="s">
        <v>329</v>
      </c>
      <c r="G132" s="209"/>
      <c r="H132" s="211" t="s">
        <v>734</v>
      </c>
      <c r="I132" s="209"/>
      <c r="J132" s="209"/>
      <c r="K132" s="209"/>
      <c r="R132" s="211" t="s">
        <v>2559</v>
      </c>
      <c r="EN132" s="211" t="s">
        <v>3375</v>
      </c>
    </row>
    <row r="133" spans="1:144">
      <c r="A133" s="208"/>
      <c r="B133" s="209" t="s">
        <v>2644</v>
      </c>
      <c r="C133" s="211" t="s">
        <v>516</v>
      </c>
      <c r="D133" s="212">
        <v>9.69</v>
      </c>
      <c r="E133" s="209" t="s">
        <v>407</v>
      </c>
      <c r="F133" s="212" t="s">
        <v>2339</v>
      </c>
      <c r="G133" s="212"/>
      <c r="H133" s="211" t="s">
        <v>735</v>
      </c>
      <c r="I133" s="209"/>
      <c r="J133" s="209"/>
      <c r="K133" s="209"/>
      <c r="R133" s="211" t="s">
        <v>2560</v>
      </c>
      <c r="EN133" s="211" t="s">
        <v>3376</v>
      </c>
    </row>
    <row r="134" spans="1:144">
      <c r="A134" s="208"/>
      <c r="B134" s="209" t="s">
        <v>2644</v>
      </c>
      <c r="C134" s="211" t="s">
        <v>1381</v>
      </c>
      <c r="D134" s="212">
        <v>9.69</v>
      </c>
      <c r="E134" s="212">
        <v>1.9</v>
      </c>
      <c r="F134" s="212" t="s">
        <v>2339</v>
      </c>
      <c r="G134" s="209"/>
      <c r="H134" s="211" t="s">
        <v>736</v>
      </c>
      <c r="I134" s="209"/>
      <c r="J134" s="209"/>
      <c r="K134" s="209"/>
      <c r="R134" s="211" t="s">
        <v>432</v>
      </c>
      <c r="EN134" s="211" t="s">
        <v>3377</v>
      </c>
    </row>
    <row r="135" spans="1:144">
      <c r="A135" s="208"/>
      <c r="B135" s="209" t="s">
        <v>2644</v>
      </c>
      <c r="C135" s="211" t="s">
        <v>1199</v>
      </c>
      <c r="D135" s="212">
        <v>10.01</v>
      </c>
      <c r="E135" s="212">
        <v>2.0099999999999998</v>
      </c>
      <c r="F135" s="212" t="s">
        <v>2347</v>
      </c>
      <c r="G135" s="209"/>
      <c r="H135" s="211" t="s">
        <v>2663</v>
      </c>
      <c r="I135" s="209"/>
      <c r="J135" s="209"/>
      <c r="K135" s="209"/>
      <c r="R135" s="211" t="s">
        <v>435</v>
      </c>
      <c r="EN135" s="211" t="s">
        <v>590</v>
      </c>
    </row>
    <row r="136" spans="1:144">
      <c r="A136" s="208"/>
      <c r="B136" s="209" t="s">
        <v>2644</v>
      </c>
      <c r="C136" s="211" t="s">
        <v>2043</v>
      </c>
      <c r="D136" s="209" t="s">
        <v>2044</v>
      </c>
      <c r="E136" s="212"/>
      <c r="F136" s="212"/>
      <c r="G136" s="209"/>
      <c r="H136" s="211" t="s">
        <v>1418</v>
      </c>
      <c r="I136" s="212"/>
      <c r="J136" s="212"/>
      <c r="K136" s="212"/>
      <c r="R136" s="211" t="s">
        <v>434</v>
      </c>
      <c r="EN136" s="211" t="s">
        <v>3050</v>
      </c>
    </row>
    <row r="137" spans="1:144">
      <c r="A137" s="208"/>
      <c r="B137" s="209" t="s">
        <v>2644</v>
      </c>
      <c r="C137" s="211" t="s">
        <v>1383</v>
      </c>
      <c r="D137" s="209" t="s">
        <v>2045</v>
      </c>
      <c r="E137" s="212">
        <v>1.41</v>
      </c>
      <c r="F137" s="212" t="s">
        <v>306</v>
      </c>
      <c r="G137" s="209"/>
      <c r="H137" s="211" t="s">
        <v>737</v>
      </c>
      <c r="I137" s="209"/>
      <c r="J137" s="209"/>
      <c r="K137" s="209"/>
      <c r="R137" s="211" t="s">
        <v>3048</v>
      </c>
      <c r="EN137" s="211" t="s">
        <v>3378</v>
      </c>
    </row>
    <row r="138" spans="1:144">
      <c r="A138" s="208"/>
      <c r="B138" s="209" t="s">
        <v>2644</v>
      </c>
      <c r="C138" s="211" t="s">
        <v>1382</v>
      </c>
      <c r="D138" s="212">
        <v>10.55</v>
      </c>
      <c r="E138" s="212">
        <v>1.91</v>
      </c>
      <c r="F138" s="212" t="s">
        <v>306</v>
      </c>
      <c r="G138" s="212"/>
      <c r="H138" s="211" t="s">
        <v>738</v>
      </c>
      <c r="I138" s="212"/>
      <c r="J138" s="212"/>
      <c r="K138" s="212"/>
      <c r="R138" s="211" t="s">
        <v>3047</v>
      </c>
      <c r="EN138" s="211" t="s">
        <v>3379</v>
      </c>
    </row>
    <row r="139" spans="1:144">
      <c r="A139" s="208"/>
      <c r="B139" s="209" t="s">
        <v>2644</v>
      </c>
      <c r="C139" s="211" t="s">
        <v>3017</v>
      </c>
      <c r="D139" s="209" t="s">
        <v>2046</v>
      </c>
      <c r="E139" s="212">
        <v>2.2000000000000002</v>
      </c>
      <c r="F139" s="209" t="s">
        <v>2346</v>
      </c>
      <c r="G139" s="209"/>
      <c r="I139" s="212"/>
      <c r="J139" s="212"/>
      <c r="K139" s="212"/>
      <c r="R139" s="211" t="s">
        <v>2561</v>
      </c>
      <c r="EN139" s="211" t="s">
        <v>3380</v>
      </c>
    </row>
    <row r="140" spans="1:144">
      <c r="A140" s="208"/>
      <c r="B140" s="209" t="s">
        <v>2644</v>
      </c>
      <c r="C140" s="211" t="s">
        <v>1385</v>
      </c>
      <c r="D140" s="212">
        <v>10.7</v>
      </c>
      <c r="E140" s="212">
        <v>1.52</v>
      </c>
      <c r="F140" s="212" t="s">
        <v>2372</v>
      </c>
      <c r="G140" s="212"/>
      <c r="H140" s="215"/>
      <c r="I140" s="212"/>
      <c r="J140" s="212"/>
      <c r="K140" s="212"/>
      <c r="R140" s="211" t="s">
        <v>2562</v>
      </c>
      <c r="EN140" s="211" t="s">
        <v>3383</v>
      </c>
    </row>
    <row r="141" spans="1:144">
      <c r="A141" s="208"/>
      <c r="B141" s="209" t="s">
        <v>2644</v>
      </c>
      <c r="C141" s="211" t="s">
        <v>1384</v>
      </c>
      <c r="D141" s="212">
        <v>10.7</v>
      </c>
      <c r="E141" s="212">
        <v>1.9</v>
      </c>
      <c r="F141" s="212" t="s">
        <v>2372</v>
      </c>
      <c r="G141" s="212"/>
      <c r="I141" s="209"/>
      <c r="J141" s="209"/>
      <c r="K141" s="209"/>
      <c r="R141" s="211" t="s">
        <v>3049</v>
      </c>
      <c r="EN141" s="211" t="s">
        <v>3384</v>
      </c>
    </row>
    <row r="142" spans="1:144">
      <c r="A142" s="208"/>
      <c r="B142" s="209" t="s">
        <v>2644</v>
      </c>
      <c r="C142" s="211" t="s">
        <v>1200</v>
      </c>
      <c r="D142" s="209" t="s">
        <v>1996</v>
      </c>
      <c r="E142" s="212">
        <v>1.85</v>
      </c>
      <c r="F142" s="212" t="s">
        <v>353</v>
      </c>
      <c r="G142" s="212"/>
      <c r="I142" s="209"/>
      <c r="J142" s="209"/>
      <c r="K142" s="209"/>
      <c r="R142" s="211" t="s">
        <v>2563</v>
      </c>
      <c r="EN142" s="211" t="s">
        <v>3397</v>
      </c>
    </row>
    <row r="143" spans="1:144">
      <c r="A143" s="208"/>
      <c r="B143" s="209" t="s">
        <v>2644</v>
      </c>
      <c r="C143" s="211" t="s">
        <v>1201</v>
      </c>
      <c r="D143" s="209" t="s">
        <v>1996</v>
      </c>
      <c r="E143" s="212">
        <v>1.8</v>
      </c>
      <c r="F143" s="212" t="s">
        <v>329</v>
      </c>
      <c r="G143" s="212"/>
      <c r="I143" s="209"/>
      <c r="J143" s="209"/>
      <c r="K143" s="209"/>
      <c r="R143" s="211" t="s">
        <v>2564</v>
      </c>
      <c r="EN143" s="211" t="s">
        <v>427</v>
      </c>
    </row>
    <row r="144" spans="1:144">
      <c r="A144" s="208"/>
      <c r="B144" s="209" t="s">
        <v>2644</v>
      </c>
      <c r="C144" s="211" t="s">
        <v>1202</v>
      </c>
      <c r="D144" s="209" t="s">
        <v>1996</v>
      </c>
      <c r="E144" s="212">
        <v>1.45</v>
      </c>
      <c r="F144" s="212" t="s">
        <v>329</v>
      </c>
      <c r="G144" s="209"/>
      <c r="I144" s="209"/>
      <c r="J144" s="209"/>
      <c r="K144" s="209"/>
      <c r="R144" s="211" t="s">
        <v>5630</v>
      </c>
      <c r="EN144" s="211" t="s">
        <v>426</v>
      </c>
    </row>
    <row r="145" spans="1:144">
      <c r="A145" s="208"/>
      <c r="B145" s="209" t="s">
        <v>2644</v>
      </c>
      <c r="C145" s="211" t="s">
        <v>5466</v>
      </c>
      <c r="D145" s="209" t="s">
        <v>572</v>
      </c>
      <c r="E145" s="212" t="s">
        <v>1650</v>
      </c>
      <c r="F145" s="212" t="s">
        <v>5467</v>
      </c>
      <c r="G145" s="209"/>
      <c r="I145" s="212"/>
      <c r="J145" s="212"/>
      <c r="K145" s="212"/>
      <c r="R145" s="211" t="s">
        <v>2565</v>
      </c>
      <c r="EN145" s="211" t="s">
        <v>2804</v>
      </c>
    </row>
    <row r="146" spans="1:144">
      <c r="A146" s="208"/>
      <c r="B146" s="209" t="s">
        <v>2644</v>
      </c>
      <c r="C146" s="211" t="s">
        <v>3018</v>
      </c>
      <c r="D146" s="212">
        <v>10.66</v>
      </c>
      <c r="E146" s="212">
        <v>1.8</v>
      </c>
      <c r="F146" s="212" t="s">
        <v>2359</v>
      </c>
      <c r="G146" s="209"/>
      <c r="H146" s="215"/>
      <c r="I146" s="209"/>
      <c r="J146" s="209"/>
      <c r="K146" s="209"/>
      <c r="R146" s="211" t="s">
        <v>437</v>
      </c>
      <c r="EN146" s="211" t="s">
        <v>2805</v>
      </c>
    </row>
    <row r="147" spans="1:144">
      <c r="A147" s="208"/>
      <c r="B147" s="209" t="s">
        <v>2644</v>
      </c>
      <c r="C147" s="211" t="s">
        <v>3019</v>
      </c>
      <c r="D147" s="212">
        <v>10.66</v>
      </c>
      <c r="E147" s="212">
        <v>2.21</v>
      </c>
      <c r="F147" s="212" t="s">
        <v>2359</v>
      </c>
      <c r="G147" s="209"/>
      <c r="I147" s="209"/>
      <c r="J147" s="209"/>
      <c r="K147" s="209"/>
      <c r="R147" s="211" t="s">
        <v>438</v>
      </c>
      <c r="EN147" s="211" t="s">
        <v>2806</v>
      </c>
    </row>
    <row r="148" spans="1:144">
      <c r="A148" s="208"/>
      <c r="B148" s="209" t="s">
        <v>2644</v>
      </c>
      <c r="C148" s="211" t="s">
        <v>3020</v>
      </c>
      <c r="D148" s="212">
        <v>10.66</v>
      </c>
      <c r="E148" s="212">
        <v>2.21</v>
      </c>
      <c r="F148" s="212" t="s">
        <v>2359</v>
      </c>
      <c r="G148" s="212"/>
      <c r="H148" s="215"/>
      <c r="I148" s="209"/>
      <c r="J148" s="209"/>
      <c r="K148" s="209"/>
      <c r="R148" s="211" t="s">
        <v>441</v>
      </c>
      <c r="EN148" s="211" t="s">
        <v>2807</v>
      </c>
    </row>
    <row r="149" spans="1:144">
      <c r="A149" s="208"/>
      <c r="B149" s="209" t="s">
        <v>2644</v>
      </c>
      <c r="C149" s="211" t="s">
        <v>3021</v>
      </c>
      <c r="D149" s="212">
        <v>10.45</v>
      </c>
      <c r="E149" s="212">
        <v>1.85</v>
      </c>
      <c r="F149" s="212" t="s">
        <v>319</v>
      </c>
      <c r="G149" s="209"/>
      <c r="H149" s="215"/>
      <c r="I149" s="209"/>
      <c r="J149" s="209"/>
      <c r="K149" s="209"/>
      <c r="R149" s="211" t="s">
        <v>440</v>
      </c>
      <c r="EN149" s="211" t="s">
        <v>2808</v>
      </c>
    </row>
    <row r="150" spans="1:144">
      <c r="A150" s="208"/>
      <c r="B150" s="209" t="s">
        <v>2644</v>
      </c>
      <c r="C150" s="211" t="s">
        <v>3022</v>
      </c>
      <c r="D150" s="212">
        <v>10.45</v>
      </c>
      <c r="E150" s="212">
        <v>2.1</v>
      </c>
      <c r="F150" s="212" t="s">
        <v>319</v>
      </c>
      <c r="G150" s="209"/>
      <c r="H150" s="215"/>
      <c r="I150" s="209"/>
      <c r="J150" s="209"/>
      <c r="K150" s="209"/>
      <c r="R150" s="211" t="s">
        <v>5568</v>
      </c>
      <c r="EN150" s="211" t="s">
        <v>2826</v>
      </c>
    </row>
    <row r="151" spans="1:144">
      <c r="A151" s="208"/>
      <c r="B151" s="209" t="s">
        <v>2644</v>
      </c>
      <c r="C151" s="211" t="s">
        <v>3024</v>
      </c>
      <c r="D151" s="209" t="s">
        <v>2047</v>
      </c>
      <c r="E151" s="212">
        <v>1.47</v>
      </c>
      <c r="F151" s="212" t="s">
        <v>332</v>
      </c>
      <c r="G151" s="209"/>
      <c r="I151" s="209"/>
      <c r="J151" s="209"/>
      <c r="K151" s="209"/>
      <c r="R151" s="211" t="s">
        <v>5613</v>
      </c>
      <c r="EN151" s="211" t="s">
        <v>2827</v>
      </c>
    </row>
    <row r="152" spans="1:144">
      <c r="A152" s="208"/>
      <c r="B152" s="209" t="s">
        <v>2644</v>
      </c>
      <c r="C152" s="211" t="s">
        <v>3023</v>
      </c>
      <c r="D152" s="212">
        <v>11.29</v>
      </c>
      <c r="E152" s="212">
        <v>1.98</v>
      </c>
      <c r="F152" s="212" t="s">
        <v>332</v>
      </c>
      <c r="G152" s="209"/>
      <c r="I152" s="209"/>
      <c r="J152" s="209"/>
      <c r="K152" s="209"/>
      <c r="EN152" s="211" t="s">
        <v>2495</v>
      </c>
    </row>
    <row r="153" spans="1:144">
      <c r="A153" s="208"/>
      <c r="B153" s="209" t="s">
        <v>2644</v>
      </c>
      <c r="C153" s="211" t="s">
        <v>3026</v>
      </c>
      <c r="D153" s="212">
        <v>11.75</v>
      </c>
      <c r="E153" s="212">
        <v>1.71</v>
      </c>
      <c r="F153" s="212" t="s">
        <v>2370</v>
      </c>
      <c r="G153" s="209"/>
      <c r="I153" s="209"/>
      <c r="J153" s="209"/>
      <c r="K153" s="209"/>
      <c r="EN153" s="211" t="s">
        <v>2496</v>
      </c>
    </row>
    <row r="154" spans="1:144">
      <c r="A154" s="208"/>
      <c r="B154" s="209" t="s">
        <v>2644</v>
      </c>
      <c r="C154" s="211" t="s">
        <v>3025</v>
      </c>
      <c r="D154" s="212">
        <v>11.75</v>
      </c>
      <c r="E154" s="212">
        <v>2.1</v>
      </c>
      <c r="F154" s="212" t="s">
        <v>2370</v>
      </c>
      <c r="G154" s="209"/>
      <c r="I154" s="209"/>
      <c r="J154" s="209"/>
      <c r="K154" s="209"/>
      <c r="EN154" s="211" t="s">
        <v>2497</v>
      </c>
    </row>
    <row r="155" spans="1:144">
      <c r="A155" s="208"/>
      <c r="B155" s="209" t="s">
        <v>2644</v>
      </c>
      <c r="C155" s="211" t="s">
        <v>3029</v>
      </c>
      <c r="D155" s="209" t="s">
        <v>2048</v>
      </c>
      <c r="E155" s="212">
        <v>1.86</v>
      </c>
      <c r="F155" s="212" t="s">
        <v>2377</v>
      </c>
      <c r="G155" s="209"/>
      <c r="H155" s="215"/>
      <c r="I155" s="209"/>
      <c r="J155" s="209"/>
      <c r="K155" s="209"/>
      <c r="EN155" s="211" t="s">
        <v>2498</v>
      </c>
    </row>
    <row r="156" spans="1:144">
      <c r="A156" s="208"/>
      <c r="B156" s="209" t="s">
        <v>2644</v>
      </c>
      <c r="C156" s="211" t="s">
        <v>3027</v>
      </c>
      <c r="D156" s="209" t="s">
        <v>2048</v>
      </c>
      <c r="E156" s="212">
        <v>1.9</v>
      </c>
      <c r="F156" s="212" t="s">
        <v>2377</v>
      </c>
      <c r="G156" s="209"/>
      <c r="I156" s="209"/>
      <c r="J156" s="209"/>
      <c r="K156" s="209"/>
      <c r="EN156" s="211" t="s">
        <v>2499</v>
      </c>
    </row>
    <row r="157" spans="1:144">
      <c r="A157" s="208"/>
      <c r="B157" s="209" t="s">
        <v>2644</v>
      </c>
      <c r="C157" s="211" t="s">
        <v>3028</v>
      </c>
      <c r="D157" s="209" t="s">
        <v>2048</v>
      </c>
      <c r="E157" s="212">
        <v>2.12</v>
      </c>
      <c r="F157" s="212" t="s">
        <v>2377</v>
      </c>
      <c r="G157" s="209"/>
      <c r="I157" s="212"/>
      <c r="J157" s="212"/>
      <c r="K157" s="212"/>
      <c r="EN157" s="211" t="s">
        <v>2501</v>
      </c>
    </row>
    <row r="158" spans="1:144">
      <c r="A158" s="208"/>
      <c r="B158" s="209" t="s">
        <v>2644</v>
      </c>
      <c r="C158" s="211" t="s">
        <v>520</v>
      </c>
      <c r="D158" s="212">
        <v>12.24</v>
      </c>
      <c r="E158" s="212">
        <v>2.48</v>
      </c>
      <c r="F158" s="209" t="s">
        <v>311</v>
      </c>
      <c r="G158" s="209"/>
      <c r="I158" s="212"/>
      <c r="J158" s="212"/>
      <c r="K158" s="212"/>
      <c r="EN158" s="211" t="s">
        <v>2502</v>
      </c>
    </row>
    <row r="159" spans="1:144">
      <c r="A159" s="208"/>
      <c r="B159" s="209" t="s">
        <v>2644</v>
      </c>
      <c r="C159" s="211" t="s">
        <v>3031</v>
      </c>
      <c r="D159" s="212">
        <v>12.24</v>
      </c>
      <c r="E159" s="212">
        <v>1.95</v>
      </c>
      <c r="F159" s="209" t="s">
        <v>311</v>
      </c>
      <c r="G159" s="209"/>
      <c r="I159" s="209"/>
      <c r="J159" s="209"/>
      <c r="K159" s="209"/>
      <c r="EN159" s="211" t="s">
        <v>2503</v>
      </c>
    </row>
    <row r="160" spans="1:144">
      <c r="A160" s="208"/>
      <c r="B160" s="209" t="s">
        <v>2644</v>
      </c>
      <c r="C160" s="211" t="s">
        <v>3030</v>
      </c>
      <c r="D160" s="212">
        <v>12.24</v>
      </c>
      <c r="E160" s="212">
        <v>2.4500000000000002</v>
      </c>
      <c r="F160" s="209" t="s">
        <v>311</v>
      </c>
      <c r="G160" s="212"/>
      <c r="I160" s="212"/>
      <c r="J160" s="212"/>
      <c r="K160" s="212"/>
      <c r="EN160" s="211" t="s">
        <v>2510</v>
      </c>
    </row>
    <row r="161" spans="1:144">
      <c r="A161" s="208"/>
      <c r="B161" s="209" t="s">
        <v>2644</v>
      </c>
      <c r="C161" s="211" t="s">
        <v>755</v>
      </c>
      <c r="D161" s="212">
        <v>12.24</v>
      </c>
      <c r="E161" s="212">
        <v>1.48</v>
      </c>
      <c r="F161" s="209" t="s">
        <v>311</v>
      </c>
      <c r="G161" s="212"/>
      <c r="I161" s="209"/>
      <c r="J161" s="209"/>
      <c r="K161" s="209"/>
      <c r="EN161" s="211" t="s">
        <v>569</v>
      </c>
    </row>
    <row r="162" spans="1:144">
      <c r="A162" s="208"/>
      <c r="B162" s="209" t="s">
        <v>2644</v>
      </c>
      <c r="C162" s="211" t="s">
        <v>521</v>
      </c>
      <c r="D162" s="209" t="s">
        <v>2049</v>
      </c>
      <c r="E162" s="209" t="s">
        <v>406</v>
      </c>
      <c r="F162" s="212" t="s">
        <v>2343</v>
      </c>
      <c r="G162" s="209"/>
      <c r="I162" s="212"/>
      <c r="J162" s="212"/>
      <c r="K162" s="212"/>
      <c r="EN162" s="211" t="s">
        <v>2531</v>
      </c>
    </row>
    <row r="163" spans="1:144">
      <c r="A163" s="208"/>
      <c r="B163" s="209" t="s">
        <v>2644</v>
      </c>
      <c r="C163" s="211" t="s">
        <v>3032</v>
      </c>
      <c r="D163" s="209" t="s">
        <v>2049</v>
      </c>
      <c r="E163" s="212">
        <v>2.5499999999999998</v>
      </c>
      <c r="F163" s="212" t="s">
        <v>353</v>
      </c>
      <c r="G163" s="212"/>
      <c r="I163" s="209"/>
      <c r="J163" s="209"/>
      <c r="K163" s="209"/>
      <c r="EN163" s="211" t="s">
        <v>2532</v>
      </c>
    </row>
    <row r="164" spans="1:144">
      <c r="A164" s="208"/>
      <c r="B164" s="209" t="s">
        <v>2644</v>
      </c>
      <c r="C164" s="211" t="s">
        <v>3033</v>
      </c>
      <c r="D164" s="212">
        <v>11.92</v>
      </c>
      <c r="E164" s="212">
        <v>2.4</v>
      </c>
      <c r="F164" s="212" t="s">
        <v>2343</v>
      </c>
      <c r="G164" s="209"/>
      <c r="I164" s="209"/>
      <c r="J164" s="209"/>
      <c r="K164" s="209"/>
      <c r="EN164" s="211" t="s">
        <v>2533</v>
      </c>
    </row>
    <row r="165" spans="1:144">
      <c r="A165" s="208"/>
      <c r="B165" s="209" t="s">
        <v>2644</v>
      </c>
      <c r="C165" s="211" t="s">
        <v>1203</v>
      </c>
      <c r="D165" s="212">
        <v>12</v>
      </c>
      <c r="E165" s="212">
        <v>2.17</v>
      </c>
      <c r="F165" s="212" t="s">
        <v>332</v>
      </c>
      <c r="G165" s="212"/>
      <c r="I165" s="209"/>
      <c r="J165" s="209"/>
      <c r="K165" s="209"/>
      <c r="EN165" s="211" t="s">
        <v>2534</v>
      </c>
    </row>
    <row r="166" spans="1:144">
      <c r="A166" s="208"/>
      <c r="B166" s="209" t="s">
        <v>2644</v>
      </c>
      <c r="C166" s="211" t="s">
        <v>1204</v>
      </c>
      <c r="D166" s="209" t="s">
        <v>2050</v>
      </c>
      <c r="E166" s="212">
        <v>2</v>
      </c>
      <c r="F166" s="212" t="s">
        <v>329</v>
      </c>
      <c r="G166" s="209"/>
      <c r="I166" s="212"/>
      <c r="J166" s="212"/>
      <c r="K166" s="212"/>
      <c r="EN166" s="211" t="s">
        <v>2536</v>
      </c>
    </row>
    <row r="167" spans="1:144">
      <c r="A167" s="208"/>
      <c r="B167" s="209" t="s">
        <v>2644</v>
      </c>
      <c r="C167" s="211" t="s">
        <v>1205</v>
      </c>
      <c r="D167" s="209" t="s">
        <v>2050</v>
      </c>
      <c r="E167" s="212">
        <v>2.02</v>
      </c>
      <c r="F167" s="212" t="s">
        <v>329</v>
      </c>
      <c r="G167" s="209"/>
      <c r="H167" s="215"/>
      <c r="I167" s="209"/>
      <c r="J167" s="209"/>
      <c r="K167" s="209"/>
      <c r="EN167" s="211" t="s">
        <v>2539</v>
      </c>
    </row>
    <row r="168" spans="1:144">
      <c r="A168" s="208"/>
      <c r="B168" s="209" t="s">
        <v>2644</v>
      </c>
      <c r="C168" s="211" t="s">
        <v>1206</v>
      </c>
      <c r="D168" s="209" t="s">
        <v>2051</v>
      </c>
      <c r="E168" s="212">
        <v>2.2000000000000002</v>
      </c>
      <c r="F168" s="212" t="s">
        <v>326</v>
      </c>
      <c r="G168" s="209"/>
      <c r="H168" s="215"/>
      <c r="I168" s="209"/>
      <c r="J168" s="209"/>
      <c r="K168" s="209"/>
      <c r="EN168" s="211" t="s">
        <v>4628</v>
      </c>
    </row>
    <row r="169" spans="1:144">
      <c r="A169" s="208"/>
      <c r="B169" s="209" t="s">
        <v>2644</v>
      </c>
      <c r="C169" s="211" t="s">
        <v>523</v>
      </c>
      <c r="D169" s="209" t="s">
        <v>1667</v>
      </c>
      <c r="E169" s="209" t="s">
        <v>421</v>
      </c>
      <c r="F169" s="209" t="s">
        <v>353</v>
      </c>
      <c r="G169" s="212"/>
      <c r="I169" s="209"/>
      <c r="J169" s="209"/>
      <c r="K169" s="209"/>
      <c r="EN169" s="211" t="s">
        <v>2575</v>
      </c>
    </row>
    <row r="170" spans="1:144">
      <c r="A170" s="208"/>
      <c r="B170" s="209" t="s">
        <v>2644</v>
      </c>
      <c r="C170" s="211" t="s">
        <v>522</v>
      </c>
      <c r="D170" s="212">
        <v>12.7</v>
      </c>
      <c r="E170" s="209" t="s">
        <v>1660</v>
      </c>
      <c r="F170" s="212" t="s">
        <v>353</v>
      </c>
      <c r="G170" s="209"/>
      <c r="H170" s="215"/>
      <c r="I170" s="209"/>
      <c r="J170" s="209"/>
      <c r="K170" s="209"/>
      <c r="EN170" s="211" t="s">
        <v>2576</v>
      </c>
    </row>
    <row r="171" spans="1:144">
      <c r="A171" s="208"/>
      <c r="B171" s="209" t="s">
        <v>2644</v>
      </c>
      <c r="C171" s="211" t="s">
        <v>1207</v>
      </c>
      <c r="D171" s="212">
        <v>12.7</v>
      </c>
      <c r="E171" s="212">
        <v>1.83</v>
      </c>
      <c r="F171" s="212" t="s">
        <v>353</v>
      </c>
      <c r="G171" s="209"/>
      <c r="I171" s="209"/>
      <c r="J171" s="209"/>
      <c r="K171" s="209"/>
      <c r="EN171" s="211" t="s">
        <v>2577</v>
      </c>
    </row>
    <row r="172" spans="1:144">
      <c r="A172" s="208"/>
      <c r="B172" s="209" t="s">
        <v>2644</v>
      </c>
      <c r="C172" s="211" t="s">
        <v>1208</v>
      </c>
      <c r="D172" s="212">
        <v>13.3</v>
      </c>
      <c r="E172" s="212">
        <v>2.31</v>
      </c>
      <c r="F172" s="212" t="s">
        <v>306</v>
      </c>
      <c r="G172" s="209"/>
      <c r="H172" s="215"/>
      <c r="I172" s="212"/>
      <c r="J172" s="212"/>
      <c r="K172" s="212"/>
      <c r="EN172" s="211" t="s">
        <v>782</v>
      </c>
    </row>
    <row r="173" spans="1:144">
      <c r="A173" s="208"/>
      <c r="B173" s="209" t="s">
        <v>2644</v>
      </c>
      <c r="C173" s="211" t="s">
        <v>1209</v>
      </c>
      <c r="D173" s="212">
        <v>13.3</v>
      </c>
      <c r="E173" s="212">
        <v>3.2</v>
      </c>
      <c r="F173" s="212" t="s">
        <v>306</v>
      </c>
      <c r="G173" s="209"/>
      <c r="I173" s="212"/>
      <c r="J173" s="212"/>
      <c r="K173" s="212"/>
      <c r="EN173" s="211" t="s">
        <v>2591</v>
      </c>
    </row>
    <row r="174" spans="1:144">
      <c r="A174" s="208"/>
      <c r="B174" s="209" t="s">
        <v>2644</v>
      </c>
      <c r="C174" s="211" t="s">
        <v>5576</v>
      </c>
      <c r="D174" s="212" t="s">
        <v>5577</v>
      </c>
      <c r="E174" s="212" t="s">
        <v>1672</v>
      </c>
      <c r="F174" s="212" t="s">
        <v>5467</v>
      </c>
      <c r="G174" s="209"/>
      <c r="I174" s="209"/>
      <c r="J174" s="209"/>
      <c r="K174" s="209"/>
      <c r="EN174" s="211" t="s">
        <v>2592</v>
      </c>
    </row>
    <row r="175" spans="1:144">
      <c r="A175" s="208"/>
      <c r="B175" s="209" t="s">
        <v>2644</v>
      </c>
      <c r="C175" s="211" t="s">
        <v>524</v>
      </c>
      <c r="D175" s="209" t="s">
        <v>2052</v>
      </c>
      <c r="E175" s="209" t="s">
        <v>445</v>
      </c>
      <c r="F175" s="212" t="s">
        <v>2345</v>
      </c>
      <c r="G175" s="212"/>
      <c r="I175" s="209"/>
      <c r="J175" s="209"/>
      <c r="K175" s="209"/>
      <c r="EN175" s="211" t="s">
        <v>2593</v>
      </c>
    </row>
    <row r="176" spans="1:144">
      <c r="A176" s="208"/>
      <c r="B176" s="209" t="s">
        <v>2644</v>
      </c>
      <c r="C176" s="211" t="s">
        <v>3034</v>
      </c>
      <c r="D176" s="209" t="s">
        <v>2052</v>
      </c>
      <c r="E176" s="212">
        <v>2.65</v>
      </c>
      <c r="F176" s="212" t="s">
        <v>2345</v>
      </c>
      <c r="G176" s="212"/>
      <c r="H176" s="215"/>
      <c r="I176" s="212"/>
      <c r="J176" s="212"/>
      <c r="K176" s="212"/>
      <c r="EN176" s="211" t="s">
        <v>2607</v>
      </c>
    </row>
    <row r="177" spans="1:144">
      <c r="A177" s="208"/>
      <c r="B177" s="209" t="s">
        <v>2644</v>
      </c>
      <c r="C177" s="211" t="s">
        <v>3035</v>
      </c>
      <c r="D177" s="212">
        <v>13.68</v>
      </c>
      <c r="E177" s="212">
        <v>2.4</v>
      </c>
      <c r="F177" s="209" t="s">
        <v>2348</v>
      </c>
      <c r="G177" s="209"/>
      <c r="I177" s="212"/>
      <c r="J177" s="212"/>
      <c r="K177" s="212"/>
      <c r="EN177" s="211" t="s">
        <v>2608</v>
      </c>
    </row>
    <row r="178" spans="1:144">
      <c r="A178" s="208"/>
      <c r="B178" s="209" t="s">
        <v>2644</v>
      </c>
      <c r="C178" s="211" t="s">
        <v>3036</v>
      </c>
      <c r="D178" s="212">
        <v>13.68</v>
      </c>
      <c r="E178" s="212">
        <v>2.72</v>
      </c>
      <c r="F178" s="209" t="s">
        <v>2348</v>
      </c>
      <c r="G178" s="209"/>
      <c r="I178" s="209"/>
      <c r="J178" s="209"/>
      <c r="K178" s="209"/>
      <c r="EN178" s="211" t="s">
        <v>783</v>
      </c>
    </row>
    <row r="179" spans="1:144">
      <c r="A179" s="208"/>
      <c r="B179" s="209" t="s">
        <v>2644</v>
      </c>
      <c r="C179" s="211" t="s">
        <v>3037</v>
      </c>
      <c r="D179" s="212">
        <v>13.67</v>
      </c>
      <c r="E179" s="212">
        <v>2.15</v>
      </c>
      <c r="F179" s="212" t="s">
        <v>2340</v>
      </c>
      <c r="G179" s="212"/>
      <c r="I179" s="212"/>
      <c r="J179" s="212"/>
      <c r="K179" s="212"/>
      <c r="EN179" s="211" t="s">
        <v>2611</v>
      </c>
    </row>
    <row r="180" spans="1:144">
      <c r="A180" s="208"/>
      <c r="B180" s="209" t="s">
        <v>2644</v>
      </c>
      <c r="C180" s="211" t="s">
        <v>3038</v>
      </c>
      <c r="D180" s="212">
        <v>13.67</v>
      </c>
      <c r="E180" s="212">
        <v>2.4</v>
      </c>
      <c r="F180" s="212" t="s">
        <v>2340</v>
      </c>
      <c r="G180" s="212"/>
      <c r="I180" s="209"/>
      <c r="J180" s="209"/>
      <c r="K180" s="209"/>
      <c r="EN180" s="211" t="s">
        <v>2614</v>
      </c>
    </row>
    <row r="181" spans="1:144">
      <c r="A181" s="208"/>
      <c r="B181" s="209" t="s">
        <v>2644</v>
      </c>
      <c r="C181" s="211" t="s">
        <v>3039</v>
      </c>
      <c r="D181" s="212">
        <v>14.5</v>
      </c>
      <c r="E181" s="212">
        <v>2.8</v>
      </c>
      <c r="F181" s="212" t="s">
        <v>343</v>
      </c>
      <c r="G181" s="209"/>
      <c r="I181" s="209"/>
      <c r="J181" s="209"/>
      <c r="K181" s="209"/>
      <c r="EN181" s="211" t="s">
        <v>2617</v>
      </c>
    </row>
    <row r="182" spans="1:144">
      <c r="A182" s="208"/>
      <c r="B182" s="209" t="s">
        <v>2644</v>
      </c>
      <c r="C182" s="211" t="s">
        <v>3040</v>
      </c>
      <c r="D182" s="212">
        <v>14.5</v>
      </c>
      <c r="E182" s="212">
        <v>2.2999999999999998</v>
      </c>
      <c r="F182" s="212" t="s">
        <v>343</v>
      </c>
      <c r="G182" s="212"/>
      <c r="H182" s="215"/>
      <c r="I182" s="209"/>
      <c r="J182" s="209"/>
      <c r="K182" s="209"/>
      <c r="EN182" s="211" t="s">
        <v>2618</v>
      </c>
    </row>
    <row r="183" spans="1:144">
      <c r="A183" s="208"/>
      <c r="B183" s="209" t="s">
        <v>2644</v>
      </c>
      <c r="C183" s="211" t="s">
        <v>1210</v>
      </c>
      <c r="D183" s="212">
        <v>14.5</v>
      </c>
      <c r="E183" s="212">
        <v>1.88</v>
      </c>
      <c r="F183" s="212" t="s">
        <v>343</v>
      </c>
      <c r="G183" s="209"/>
      <c r="H183" s="215"/>
      <c r="I183" s="209"/>
      <c r="J183" s="209"/>
      <c r="K183" s="209"/>
      <c r="EN183" s="211" t="s">
        <v>2619</v>
      </c>
    </row>
    <row r="184" spans="1:144">
      <c r="A184" s="208"/>
      <c r="B184" s="209" t="s">
        <v>2644</v>
      </c>
      <c r="C184" s="211" t="s">
        <v>1211</v>
      </c>
      <c r="D184" s="212">
        <v>14.98</v>
      </c>
      <c r="E184" s="212">
        <v>2.8</v>
      </c>
      <c r="F184" s="209" t="s">
        <v>2362</v>
      </c>
      <c r="G184" s="209"/>
      <c r="I184" s="212"/>
      <c r="J184" s="212"/>
      <c r="K184" s="212"/>
      <c r="EN184" s="211" t="s">
        <v>2620</v>
      </c>
    </row>
    <row r="185" spans="1:144">
      <c r="A185" s="208"/>
      <c r="B185" s="209" t="s">
        <v>2644</v>
      </c>
      <c r="C185" s="211" t="s">
        <v>4082</v>
      </c>
      <c r="D185" s="209" t="s">
        <v>2053</v>
      </c>
      <c r="E185" s="212">
        <v>2.85</v>
      </c>
      <c r="F185" s="212" t="s">
        <v>2980</v>
      </c>
      <c r="G185" s="209"/>
      <c r="I185" s="209"/>
      <c r="J185" s="209"/>
      <c r="K185" s="209"/>
      <c r="EN185" s="211" t="s">
        <v>2621</v>
      </c>
    </row>
    <row r="186" spans="1:144">
      <c r="A186" s="208"/>
      <c r="B186" s="209" t="s">
        <v>2644</v>
      </c>
      <c r="C186" s="211" t="s">
        <v>4083</v>
      </c>
      <c r="D186" s="212">
        <v>15.24</v>
      </c>
      <c r="E186" s="212">
        <v>1.8</v>
      </c>
      <c r="F186" s="212" t="s">
        <v>324</v>
      </c>
      <c r="G186" s="209"/>
      <c r="H186" s="215"/>
      <c r="I186" s="212"/>
      <c r="J186" s="212"/>
      <c r="K186" s="212"/>
      <c r="EN186" s="211" t="s">
        <v>2622</v>
      </c>
    </row>
    <row r="187" spans="1:144">
      <c r="A187" s="208"/>
      <c r="B187" s="209" t="s">
        <v>2644</v>
      </c>
      <c r="C187" s="549" t="s">
        <v>5422</v>
      </c>
      <c r="D187" s="550">
        <v>15.97</v>
      </c>
      <c r="E187" s="550">
        <v>2.5</v>
      </c>
      <c r="F187" s="551">
        <v>2019</v>
      </c>
      <c r="G187" s="209"/>
      <c r="H187" s="215"/>
      <c r="I187" s="209"/>
      <c r="J187" s="209"/>
      <c r="K187" s="209"/>
      <c r="EN187" s="211" t="s">
        <v>2623</v>
      </c>
    </row>
    <row r="188" spans="1:144">
      <c r="A188" s="208"/>
      <c r="B188" s="209" t="s">
        <v>2644</v>
      </c>
      <c r="C188" s="549" t="s">
        <v>5423</v>
      </c>
      <c r="D188" s="550">
        <v>15.97</v>
      </c>
      <c r="E188" s="550">
        <v>2.95</v>
      </c>
      <c r="F188" s="551">
        <v>2019</v>
      </c>
      <c r="G188" s="212"/>
      <c r="I188" s="209"/>
      <c r="J188" s="209"/>
      <c r="K188" s="209"/>
      <c r="EN188" s="211" t="s">
        <v>1782</v>
      </c>
    </row>
    <row r="189" spans="1:144">
      <c r="A189" s="208"/>
      <c r="B189" s="209" t="s">
        <v>2644</v>
      </c>
      <c r="C189" s="211" t="s">
        <v>4084</v>
      </c>
      <c r="D189" s="212">
        <v>15.75</v>
      </c>
      <c r="E189" s="212">
        <v>2.4500000000000002</v>
      </c>
      <c r="F189" s="212" t="s">
        <v>308</v>
      </c>
      <c r="G189" s="209"/>
      <c r="H189" s="215"/>
      <c r="I189" s="212"/>
      <c r="J189" s="212"/>
      <c r="K189" s="212"/>
      <c r="EN189" s="211" t="s">
        <v>1783</v>
      </c>
    </row>
    <row r="190" spans="1:144">
      <c r="A190" s="208"/>
      <c r="B190" s="209" t="s">
        <v>2644</v>
      </c>
      <c r="C190" s="211" t="s">
        <v>4085</v>
      </c>
      <c r="D190" s="212">
        <v>6.6</v>
      </c>
      <c r="E190" s="209" t="s">
        <v>305</v>
      </c>
      <c r="F190" s="212" t="s">
        <v>3560</v>
      </c>
      <c r="G190" s="212"/>
      <c r="I190" s="209"/>
      <c r="J190" s="209"/>
      <c r="K190" s="209"/>
      <c r="EN190" s="211" t="s">
        <v>1796</v>
      </c>
    </row>
    <row r="191" spans="1:144">
      <c r="A191" s="208"/>
      <c r="B191" s="209" t="s">
        <v>2644</v>
      </c>
      <c r="C191" s="211" t="s">
        <v>4086</v>
      </c>
      <c r="D191" s="209" t="s">
        <v>2054</v>
      </c>
      <c r="E191" s="212">
        <v>2</v>
      </c>
      <c r="F191" s="212" t="s">
        <v>2345</v>
      </c>
      <c r="G191" s="209"/>
      <c r="I191" s="209"/>
      <c r="J191" s="209"/>
      <c r="K191" s="209"/>
      <c r="EN191" s="211" t="s">
        <v>1797</v>
      </c>
    </row>
    <row r="192" spans="1:144">
      <c r="A192" s="208"/>
      <c r="B192" s="209" t="s">
        <v>2644</v>
      </c>
      <c r="C192" s="211" t="s">
        <v>4087</v>
      </c>
      <c r="D192" s="209" t="s">
        <v>2025</v>
      </c>
      <c r="E192" s="209" t="s">
        <v>305</v>
      </c>
      <c r="F192" s="212" t="s">
        <v>3508</v>
      </c>
      <c r="G192" s="209"/>
      <c r="I192" s="209"/>
      <c r="J192" s="209"/>
      <c r="K192" s="209"/>
      <c r="EN192" s="211" t="s">
        <v>1798</v>
      </c>
    </row>
    <row r="193" spans="1:144">
      <c r="A193" s="208"/>
      <c r="B193" s="209" t="s">
        <v>2644</v>
      </c>
      <c r="C193" s="211" t="s">
        <v>512</v>
      </c>
      <c r="D193" s="209" t="s">
        <v>514</v>
      </c>
      <c r="E193" s="209" t="s">
        <v>487</v>
      </c>
      <c r="F193" s="209" t="s">
        <v>3560</v>
      </c>
      <c r="G193" s="212"/>
      <c r="I193" s="209"/>
      <c r="J193" s="209"/>
      <c r="K193" s="209"/>
      <c r="EN193" s="211" t="s">
        <v>1799</v>
      </c>
    </row>
    <row r="194" spans="1:144">
      <c r="A194" s="208"/>
      <c r="B194" s="209" t="s">
        <v>2644</v>
      </c>
      <c r="C194" s="211" t="s">
        <v>513</v>
      </c>
      <c r="D194" s="209" t="s">
        <v>515</v>
      </c>
      <c r="E194" s="209" t="s">
        <v>407</v>
      </c>
      <c r="F194" s="209" t="s">
        <v>2980</v>
      </c>
      <c r="G194" s="209"/>
      <c r="H194" s="215"/>
      <c r="I194" s="209"/>
      <c r="J194" s="209"/>
      <c r="K194" s="209"/>
      <c r="EN194" s="211" t="s">
        <v>4665</v>
      </c>
    </row>
    <row r="195" spans="1:144">
      <c r="A195" s="208"/>
      <c r="B195" s="209" t="s">
        <v>2644</v>
      </c>
      <c r="C195" s="211" t="s">
        <v>4088</v>
      </c>
      <c r="D195" s="212">
        <v>9.15</v>
      </c>
      <c r="E195" s="212">
        <v>1.8</v>
      </c>
      <c r="F195" s="212" t="s">
        <v>3539</v>
      </c>
      <c r="G195" s="209"/>
      <c r="I195" s="209"/>
      <c r="J195" s="209"/>
      <c r="K195" s="209"/>
      <c r="EN195" s="211" t="s">
        <v>784</v>
      </c>
    </row>
    <row r="196" spans="1:144">
      <c r="A196" s="208"/>
      <c r="B196" s="209" t="s">
        <v>2644</v>
      </c>
      <c r="C196" s="211" t="s">
        <v>4089</v>
      </c>
      <c r="D196" s="212">
        <v>11</v>
      </c>
      <c r="E196" s="212">
        <v>1.92</v>
      </c>
      <c r="F196" s="212" t="s">
        <v>2377</v>
      </c>
      <c r="G196" s="209"/>
      <c r="H196" s="215"/>
      <c r="I196" s="209"/>
      <c r="J196" s="209"/>
      <c r="K196" s="209"/>
      <c r="EN196" s="211" t="s">
        <v>1802</v>
      </c>
    </row>
    <row r="197" spans="1:144">
      <c r="A197" s="208"/>
      <c r="B197" s="209" t="s">
        <v>2644</v>
      </c>
      <c r="C197" s="211" t="s">
        <v>428</v>
      </c>
      <c r="D197" s="209" t="s">
        <v>2040</v>
      </c>
      <c r="E197" s="209" t="s">
        <v>429</v>
      </c>
      <c r="F197" s="209" t="s">
        <v>311</v>
      </c>
      <c r="G197" s="209"/>
      <c r="I197" s="209"/>
      <c r="J197" s="209"/>
      <c r="K197" s="209"/>
      <c r="EN197" s="211" t="s">
        <v>1805</v>
      </c>
    </row>
    <row r="198" spans="1:144">
      <c r="A198" s="208"/>
      <c r="B198" s="209" t="s">
        <v>2644</v>
      </c>
      <c r="C198" s="211" t="s">
        <v>2547</v>
      </c>
      <c r="D198" s="209" t="s">
        <v>1231</v>
      </c>
      <c r="E198" s="212">
        <v>1.45</v>
      </c>
      <c r="F198" s="212" t="s">
        <v>2339</v>
      </c>
      <c r="G198" s="209"/>
      <c r="I198" s="209"/>
      <c r="J198" s="209"/>
      <c r="K198" s="209"/>
      <c r="EN198" s="211" t="s">
        <v>1815</v>
      </c>
    </row>
    <row r="199" spans="1:144">
      <c r="A199" s="208"/>
      <c r="B199" s="209" t="s">
        <v>2644</v>
      </c>
      <c r="C199" s="211" t="s">
        <v>2548</v>
      </c>
      <c r="D199" s="209" t="s">
        <v>1232</v>
      </c>
      <c r="E199" s="212">
        <v>1.5</v>
      </c>
      <c r="F199" s="212" t="s">
        <v>306</v>
      </c>
      <c r="G199" s="209"/>
      <c r="H199" s="215"/>
      <c r="I199" s="212"/>
      <c r="J199" s="212"/>
      <c r="K199" s="212"/>
      <c r="EN199" s="211" t="s">
        <v>1818</v>
      </c>
    </row>
    <row r="200" spans="1:144">
      <c r="A200" s="208"/>
      <c r="B200" s="209" t="s">
        <v>2644</v>
      </c>
      <c r="C200" s="211" t="s">
        <v>2549</v>
      </c>
      <c r="D200" s="212">
        <v>9.99</v>
      </c>
      <c r="E200" s="212">
        <v>1.6</v>
      </c>
      <c r="F200" s="212" t="s">
        <v>343</v>
      </c>
      <c r="G200" s="209"/>
      <c r="I200" s="212"/>
      <c r="J200" s="212"/>
      <c r="K200" s="212"/>
      <c r="EN200" s="211" t="s">
        <v>1817</v>
      </c>
    </row>
    <row r="201" spans="1:144">
      <c r="A201" s="208"/>
      <c r="B201" s="209" t="s">
        <v>2644</v>
      </c>
      <c r="C201" s="211" t="s">
        <v>2550</v>
      </c>
      <c r="D201" s="212">
        <v>9.99</v>
      </c>
      <c r="E201" s="209" t="s">
        <v>305</v>
      </c>
      <c r="F201" s="212" t="s">
        <v>343</v>
      </c>
      <c r="G201" s="209"/>
      <c r="I201" s="212"/>
      <c r="J201" s="212"/>
      <c r="K201" s="212"/>
      <c r="EN201" s="211" t="s">
        <v>1843</v>
      </c>
    </row>
    <row r="202" spans="1:144">
      <c r="A202" s="208"/>
      <c r="B202" s="209" t="s">
        <v>2644</v>
      </c>
      <c r="C202" s="211" t="s">
        <v>2551</v>
      </c>
      <c r="D202" s="212">
        <v>9.99</v>
      </c>
      <c r="E202" s="209">
        <v>1.82</v>
      </c>
      <c r="F202" s="209" t="s">
        <v>314</v>
      </c>
      <c r="G202" s="209"/>
      <c r="I202" s="212"/>
      <c r="J202" s="212"/>
      <c r="K202" s="212"/>
      <c r="EN202" s="211" t="s">
        <v>3966</v>
      </c>
    </row>
    <row r="203" spans="1:144">
      <c r="A203" s="208"/>
      <c r="B203" s="209" t="s">
        <v>2644</v>
      </c>
      <c r="C203" s="211" t="s">
        <v>5596</v>
      </c>
      <c r="D203" s="212" t="s">
        <v>2056</v>
      </c>
      <c r="E203" s="209" t="s">
        <v>448</v>
      </c>
      <c r="F203" s="209" t="s">
        <v>5419</v>
      </c>
      <c r="G203" s="212"/>
      <c r="I203" s="209"/>
      <c r="J203" s="209"/>
      <c r="K203" s="209"/>
      <c r="EN203" s="211" t="s">
        <v>3967</v>
      </c>
    </row>
    <row r="204" spans="1:144">
      <c r="A204" s="208"/>
      <c r="B204" s="209" t="s">
        <v>2644</v>
      </c>
      <c r="C204" s="211" t="s">
        <v>3042</v>
      </c>
      <c r="D204" s="209" t="s">
        <v>1233</v>
      </c>
      <c r="E204" s="212">
        <v>1.3</v>
      </c>
      <c r="F204" s="212" t="s">
        <v>2980</v>
      </c>
      <c r="G204" s="212"/>
      <c r="I204" s="209"/>
      <c r="J204" s="209"/>
      <c r="K204" s="209"/>
      <c r="EN204" s="211" t="s">
        <v>3969</v>
      </c>
    </row>
    <row r="205" spans="1:144">
      <c r="A205" s="208"/>
      <c r="B205" s="209" t="s">
        <v>2644</v>
      </c>
      <c r="C205" s="211" t="s">
        <v>3041</v>
      </c>
      <c r="D205" s="209" t="s">
        <v>1233</v>
      </c>
      <c r="E205" s="212">
        <v>1.56</v>
      </c>
      <c r="F205" s="212" t="s">
        <v>2980</v>
      </c>
      <c r="G205" s="212"/>
      <c r="I205" s="209"/>
      <c r="J205" s="209"/>
      <c r="K205" s="209"/>
      <c r="EN205" s="211" t="s">
        <v>252</v>
      </c>
    </row>
    <row r="206" spans="1:144">
      <c r="A206" s="208"/>
      <c r="B206" s="209" t="s">
        <v>2644</v>
      </c>
      <c r="C206" s="211" t="s">
        <v>2552</v>
      </c>
      <c r="D206" s="209" t="s">
        <v>1233</v>
      </c>
      <c r="E206" s="212">
        <v>1.34</v>
      </c>
      <c r="F206" s="212" t="s">
        <v>2980</v>
      </c>
      <c r="G206" s="212"/>
      <c r="I206" s="209"/>
      <c r="J206" s="209"/>
      <c r="K206" s="209"/>
      <c r="EN206" s="211" t="s">
        <v>253</v>
      </c>
    </row>
    <row r="207" spans="1:144">
      <c r="A207" s="208"/>
      <c r="B207" s="209" t="s">
        <v>2644</v>
      </c>
      <c r="C207" s="211" t="s">
        <v>2553</v>
      </c>
      <c r="D207" s="212">
        <v>10.8</v>
      </c>
      <c r="E207" s="212">
        <v>1.53</v>
      </c>
      <c r="F207" s="212" t="s">
        <v>2344</v>
      </c>
      <c r="G207" s="209"/>
      <c r="I207" s="212"/>
      <c r="J207" s="212"/>
      <c r="K207" s="212"/>
      <c r="EN207" s="211" t="s">
        <v>270</v>
      </c>
    </row>
    <row r="208" spans="1:144">
      <c r="A208" s="208"/>
      <c r="B208" s="209" t="s">
        <v>2644</v>
      </c>
      <c r="C208" s="211" t="s">
        <v>2554</v>
      </c>
      <c r="D208" s="212">
        <v>11.13</v>
      </c>
      <c r="E208" s="212">
        <v>1.9</v>
      </c>
      <c r="F208" s="209" t="s">
        <v>311</v>
      </c>
      <c r="G208" s="209"/>
      <c r="I208" s="209"/>
      <c r="J208" s="209"/>
      <c r="K208" s="209"/>
      <c r="EN208" s="211" t="s">
        <v>271</v>
      </c>
    </row>
    <row r="209" spans="1:144">
      <c r="A209" s="208"/>
      <c r="B209" s="209" t="s">
        <v>2644</v>
      </c>
      <c r="C209" s="211" t="s">
        <v>2555</v>
      </c>
      <c r="D209" s="209" t="s">
        <v>1234</v>
      </c>
      <c r="E209" s="212">
        <v>1.64</v>
      </c>
      <c r="F209" s="212" t="s">
        <v>2980</v>
      </c>
      <c r="G209" s="209"/>
      <c r="H209" s="215"/>
      <c r="I209" s="212"/>
      <c r="J209" s="212"/>
      <c r="K209" s="212"/>
      <c r="EN209" s="211" t="s">
        <v>272</v>
      </c>
    </row>
    <row r="210" spans="1:144">
      <c r="A210" s="208"/>
      <c r="B210" s="209" t="s">
        <v>2644</v>
      </c>
      <c r="C210" s="211" t="s">
        <v>3044</v>
      </c>
      <c r="D210" s="209" t="s">
        <v>1230</v>
      </c>
      <c r="E210" s="212">
        <v>1.55</v>
      </c>
      <c r="F210" s="209" t="s">
        <v>2359</v>
      </c>
      <c r="G210" s="209"/>
      <c r="H210" s="215"/>
      <c r="I210" s="212"/>
      <c r="J210" s="212"/>
      <c r="K210" s="212"/>
      <c r="EN210" s="211" t="s">
        <v>273</v>
      </c>
    </row>
    <row r="211" spans="1:144">
      <c r="A211" s="208"/>
      <c r="B211" s="209" t="s">
        <v>2644</v>
      </c>
      <c r="C211" s="211" t="s">
        <v>3043</v>
      </c>
      <c r="D211" s="212">
        <v>11.62</v>
      </c>
      <c r="E211" s="212">
        <v>1.9</v>
      </c>
      <c r="F211" s="212" t="s">
        <v>2359</v>
      </c>
      <c r="G211" s="209"/>
      <c r="H211" s="215"/>
      <c r="I211" s="212"/>
      <c r="J211" s="212"/>
      <c r="K211" s="212"/>
      <c r="EN211" s="211" t="s">
        <v>274</v>
      </c>
    </row>
    <row r="212" spans="1:144">
      <c r="A212" s="208"/>
      <c r="B212" s="209" t="s">
        <v>2644</v>
      </c>
      <c r="C212" s="211" t="s">
        <v>2556</v>
      </c>
      <c r="D212" s="212">
        <v>11.82</v>
      </c>
      <c r="E212" s="212">
        <v>1.95</v>
      </c>
      <c r="F212" s="209" t="s">
        <v>2362</v>
      </c>
      <c r="G212" s="212"/>
      <c r="H212" s="215"/>
      <c r="I212" s="212"/>
      <c r="J212" s="212"/>
      <c r="K212" s="212"/>
      <c r="EN212" s="211" t="s">
        <v>275</v>
      </c>
    </row>
    <row r="213" spans="1:144">
      <c r="A213" s="208"/>
      <c r="B213" s="209" t="s">
        <v>2644</v>
      </c>
      <c r="C213" s="211" t="s">
        <v>2557</v>
      </c>
      <c r="D213" s="212">
        <v>11.78</v>
      </c>
      <c r="E213" s="212">
        <v>1.75</v>
      </c>
      <c r="F213" s="212" t="s">
        <v>308</v>
      </c>
      <c r="G213" s="209"/>
      <c r="I213" s="209"/>
      <c r="J213" s="209"/>
      <c r="K213" s="209"/>
      <c r="EN213" s="211" t="s">
        <v>276</v>
      </c>
    </row>
    <row r="214" spans="1:144">
      <c r="A214" s="208"/>
      <c r="B214" s="209" t="s">
        <v>2644</v>
      </c>
      <c r="C214" s="211" t="s">
        <v>5399</v>
      </c>
      <c r="D214" s="212" t="s">
        <v>1983</v>
      </c>
      <c r="E214" s="212" t="s">
        <v>5400</v>
      </c>
      <c r="F214" s="212" t="s">
        <v>5394</v>
      </c>
      <c r="G214" s="212"/>
      <c r="I214" s="209"/>
      <c r="J214" s="209"/>
      <c r="K214" s="209"/>
      <c r="EN214" s="211" t="s">
        <v>277</v>
      </c>
    </row>
    <row r="215" spans="1:144">
      <c r="A215" s="208"/>
      <c r="B215" s="209" t="s">
        <v>2644</v>
      </c>
      <c r="C215" s="211" t="s">
        <v>5604</v>
      </c>
      <c r="D215" s="212" t="s">
        <v>1983</v>
      </c>
      <c r="E215" s="212" t="s">
        <v>5605</v>
      </c>
      <c r="F215" s="212" t="s">
        <v>5394</v>
      </c>
      <c r="G215" s="212"/>
      <c r="I215" s="209"/>
      <c r="J215" s="209"/>
      <c r="K215" s="209"/>
      <c r="EN215" s="211" t="s">
        <v>785</v>
      </c>
    </row>
    <row r="216" spans="1:144">
      <c r="A216" s="208"/>
      <c r="B216" s="209" t="s">
        <v>2644</v>
      </c>
      <c r="C216" s="211" t="s">
        <v>4659</v>
      </c>
      <c r="D216" s="209" t="s">
        <v>1972</v>
      </c>
      <c r="E216" s="209" t="s">
        <v>405</v>
      </c>
      <c r="F216" s="209" t="s">
        <v>4660</v>
      </c>
      <c r="G216" s="212"/>
      <c r="I216" s="209"/>
      <c r="J216" s="209"/>
      <c r="K216" s="209"/>
      <c r="EN216" s="211" t="s">
        <v>278</v>
      </c>
    </row>
    <row r="217" spans="1:144">
      <c r="A217" s="208"/>
      <c r="B217" s="209" t="s">
        <v>2644</v>
      </c>
      <c r="C217" s="211" t="s">
        <v>3045</v>
      </c>
      <c r="D217" s="212">
        <v>12.31</v>
      </c>
      <c r="E217" s="212">
        <v>1.7</v>
      </c>
      <c r="F217" s="212" t="s">
        <v>2344</v>
      </c>
      <c r="G217" s="212"/>
      <c r="H217" s="215"/>
      <c r="I217" s="209"/>
      <c r="J217" s="209"/>
      <c r="K217" s="209"/>
      <c r="EN217" s="211" t="s">
        <v>279</v>
      </c>
    </row>
    <row r="218" spans="1:144">
      <c r="A218" s="208"/>
      <c r="B218" s="209" t="s">
        <v>2644</v>
      </c>
      <c r="C218" s="211" t="s">
        <v>3046</v>
      </c>
      <c r="D218" s="212">
        <v>12.31</v>
      </c>
      <c r="E218" s="212">
        <v>2</v>
      </c>
      <c r="F218" s="212" t="s">
        <v>2344</v>
      </c>
      <c r="G218" s="209"/>
      <c r="I218" s="209"/>
      <c r="J218" s="209"/>
      <c r="K218" s="209"/>
      <c r="EN218" s="211" t="s">
        <v>287</v>
      </c>
    </row>
    <row r="219" spans="1:144">
      <c r="A219" s="208"/>
      <c r="B219" s="209" t="s">
        <v>2644</v>
      </c>
      <c r="C219" s="211" t="s">
        <v>2558</v>
      </c>
      <c r="D219" s="212">
        <v>12.64</v>
      </c>
      <c r="E219" s="212">
        <v>2.1</v>
      </c>
      <c r="F219" s="212" t="s">
        <v>310</v>
      </c>
      <c r="G219" s="209"/>
      <c r="H219" s="215"/>
      <c r="I219" s="209"/>
      <c r="J219" s="212"/>
      <c r="K219" s="212"/>
      <c r="EN219" s="211" t="s">
        <v>288</v>
      </c>
    </row>
    <row r="220" spans="1:144">
      <c r="A220" s="208"/>
      <c r="B220" s="209" t="s">
        <v>2644</v>
      </c>
      <c r="C220" s="211" t="s">
        <v>431</v>
      </c>
      <c r="D220" s="209" t="s">
        <v>1235</v>
      </c>
      <c r="E220" s="209" t="s">
        <v>1665</v>
      </c>
      <c r="F220" s="209" t="s">
        <v>2362</v>
      </c>
      <c r="G220" s="209"/>
      <c r="H220" s="215"/>
      <c r="I220" s="212"/>
      <c r="J220" s="212"/>
      <c r="K220" s="212"/>
      <c r="EN220" s="211" t="s">
        <v>289</v>
      </c>
    </row>
    <row r="221" spans="1:144">
      <c r="A221" s="208"/>
      <c r="B221" s="209" t="s">
        <v>2644</v>
      </c>
      <c r="C221" s="211" t="s">
        <v>430</v>
      </c>
      <c r="D221" s="209" t="s">
        <v>1235</v>
      </c>
      <c r="E221" s="212">
        <v>2</v>
      </c>
      <c r="F221" s="209" t="s">
        <v>2362</v>
      </c>
      <c r="G221" s="209"/>
      <c r="H221" s="215"/>
      <c r="I221" s="212"/>
      <c r="J221" s="212"/>
      <c r="K221" s="212"/>
      <c r="EN221" s="211" t="s">
        <v>295</v>
      </c>
    </row>
    <row r="222" spans="1:144">
      <c r="A222" s="208"/>
      <c r="B222" s="209" t="s">
        <v>2644</v>
      </c>
      <c r="C222" s="211" t="s">
        <v>2559</v>
      </c>
      <c r="D222" s="212">
        <v>12.6</v>
      </c>
      <c r="E222" s="212">
        <v>1.8</v>
      </c>
      <c r="F222" s="212" t="s">
        <v>329</v>
      </c>
      <c r="G222" s="209"/>
      <c r="H222" s="215"/>
      <c r="I222" s="212"/>
      <c r="J222" s="209"/>
      <c r="K222" s="209"/>
      <c r="EN222" s="211" t="s">
        <v>2142</v>
      </c>
    </row>
    <row r="223" spans="1:144">
      <c r="A223" s="208"/>
      <c r="B223" s="209" t="s">
        <v>2644</v>
      </c>
      <c r="C223" s="211" t="s">
        <v>2560</v>
      </c>
      <c r="D223" s="212">
        <v>13.09</v>
      </c>
      <c r="E223" s="212">
        <v>1.75</v>
      </c>
      <c r="F223" s="212" t="s">
        <v>3539</v>
      </c>
      <c r="G223" s="209"/>
      <c r="I223" s="209"/>
      <c r="J223" s="209"/>
      <c r="K223" s="209"/>
      <c r="EN223" s="211" t="s">
        <v>2143</v>
      </c>
    </row>
    <row r="224" spans="1:144">
      <c r="A224" s="208"/>
      <c r="B224" s="209" t="s">
        <v>2644</v>
      </c>
      <c r="C224" s="211" t="s">
        <v>432</v>
      </c>
      <c r="D224" s="209" t="s">
        <v>433</v>
      </c>
      <c r="E224" s="209" t="s">
        <v>421</v>
      </c>
      <c r="F224" s="209" t="s">
        <v>316</v>
      </c>
      <c r="G224" s="209"/>
      <c r="I224" s="209"/>
      <c r="J224" s="209"/>
      <c r="K224" s="209"/>
      <c r="EN224" s="211" t="s">
        <v>2145</v>
      </c>
    </row>
    <row r="225" spans="1:144">
      <c r="A225" s="208"/>
      <c r="B225" s="209" t="s">
        <v>2644</v>
      </c>
      <c r="C225" s="211" t="s">
        <v>435</v>
      </c>
      <c r="D225" s="209" t="s">
        <v>2016</v>
      </c>
      <c r="E225" s="209" t="s">
        <v>436</v>
      </c>
      <c r="F225" s="209" t="s">
        <v>311</v>
      </c>
      <c r="G225" s="212"/>
      <c r="I225" s="209"/>
      <c r="J225" s="209"/>
      <c r="K225" s="209"/>
      <c r="EN225" s="211" t="s">
        <v>2147</v>
      </c>
    </row>
    <row r="226" spans="1:144">
      <c r="A226" s="208"/>
      <c r="B226" s="209" t="s">
        <v>2644</v>
      </c>
      <c r="C226" s="211" t="s">
        <v>434</v>
      </c>
      <c r="D226" s="212">
        <v>13.7</v>
      </c>
      <c r="E226" s="212">
        <v>2.0499999999999998</v>
      </c>
      <c r="F226" s="209" t="s">
        <v>311</v>
      </c>
      <c r="G226" s="212"/>
      <c r="I226" s="209"/>
      <c r="J226" s="209"/>
      <c r="K226" s="209"/>
      <c r="EN226" s="211" t="s">
        <v>2149</v>
      </c>
    </row>
    <row r="227" spans="1:144">
      <c r="A227" s="208"/>
      <c r="B227" s="209" t="s">
        <v>2644</v>
      </c>
      <c r="C227" s="211" t="s">
        <v>3048</v>
      </c>
      <c r="D227" s="212">
        <v>13.76</v>
      </c>
      <c r="E227" s="212">
        <v>1.75</v>
      </c>
      <c r="F227" s="212" t="s">
        <v>3539</v>
      </c>
      <c r="G227" s="212"/>
      <c r="I227" s="209"/>
      <c r="J227" s="209"/>
      <c r="K227" s="209"/>
      <c r="EN227" s="211" t="s">
        <v>2152</v>
      </c>
    </row>
    <row r="228" spans="1:144">
      <c r="A228" s="208"/>
      <c r="B228" s="209" t="s">
        <v>2644</v>
      </c>
      <c r="C228" s="211" t="s">
        <v>3047</v>
      </c>
      <c r="D228" s="212">
        <v>13.76</v>
      </c>
      <c r="E228" s="212">
        <v>1.9</v>
      </c>
      <c r="F228" s="212" t="s">
        <v>3539</v>
      </c>
      <c r="G228" s="209"/>
      <c r="I228" s="209"/>
      <c r="J228" s="209"/>
      <c r="K228" s="209"/>
      <c r="EN228" s="211" t="s">
        <v>4007</v>
      </c>
    </row>
    <row r="229" spans="1:144">
      <c r="A229" s="208"/>
      <c r="B229" s="209" t="s">
        <v>2644</v>
      </c>
      <c r="C229" s="211" t="s">
        <v>2561</v>
      </c>
      <c r="D229" s="212">
        <v>13.76</v>
      </c>
      <c r="E229" s="212">
        <v>1.75</v>
      </c>
      <c r="F229" s="212" t="s">
        <v>2339</v>
      </c>
      <c r="G229" s="209"/>
      <c r="I229" s="209"/>
      <c r="J229" s="209"/>
      <c r="K229" s="209"/>
      <c r="EN229" s="211" t="s">
        <v>4008</v>
      </c>
    </row>
    <row r="230" spans="1:144">
      <c r="A230" s="208"/>
      <c r="B230" s="209" t="s">
        <v>2644</v>
      </c>
      <c r="C230" s="211" t="s">
        <v>2562</v>
      </c>
      <c r="D230" s="212">
        <v>14.15</v>
      </c>
      <c r="E230" s="212">
        <v>2.1</v>
      </c>
      <c r="F230" s="212" t="s">
        <v>2359</v>
      </c>
      <c r="G230" s="209"/>
      <c r="H230" s="215"/>
      <c r="I230" s="209"/>
      <c r="J230" s="209"/>
      <c r="K230" s="209"/>
      <c r="EN230" s="211" t="s">
        <v>4009</v>
      </c>
    </row>
    <row r="231" spans="1:144">
      <c r="A231" s="208"/>
      <c r="B231" s="209" t="s">
        <v>2644</v>
      </c>
      <c r="C231" s="211" t="s">
        <v>3049</v>
      </c>
      <c r="D231" s="212">
        <v>14.75</v>
      </c>
      <c r="E231" s="212">
        <v>2.1</v>
      </c>
      <c r="F231" s="209" t="s">
        <v>2347</v>
      </c>
      <c r="G231" s="209"/>
      <c r="H231" s="215"/>
      <c r="I231" s="209"/>
      <c r="J231" s="209"/>
      <c r="K231" s="209"/>
      <c r="EN231" s="211" t="s">
        <v>4010</v>
      </c>
    </row>
    <row r="232" spans="1:144">
      <c r="A232" s="208" t="s">
        <v>2342</v>
      </c>
      <c r="B232" s="209" t="s">
        <v>2644</v>
      </c>
      <c r="C232" s="211" t="s">
        <v>2563</v>
      </c>
      <c r="D232" s="212">
        <v>14.75</v>
      </c>
      <c r="E232" s="212">
        <v>2.1</v>
      </c>
      <c r="F232" s="209" t="s">
        <v>314</v>
      </c>
      <c r="G232" s="209"/>
      <c r="H232" s="215"/>
      <c r="I232" s="209"/>
      <c r="J232" s="209"/>
      <c r="K232" s="209"/>
      <c r="EN232" s="211" t="s">
        <v>4011</v>
      </c>
    </row>
    <row r="233" spans="1:144">
      <c r="A233" s="208"/>
      <c r="B233" s="209" t="s">
        <v>2644</v>
      </c>
      <c r="C233" s="211" t="s">
        <v>5630</v>
      </c>
      <c r="D233" s="212" t="s">
        <v>5631</v>
      </c>
      <c r="E233" s="212" t="s">
        <v>1658</v>
      </c>
      <c r="F233" s="209" t="s">
        <v>4674</v>
      </c>
      <c r="G233" s="209"/>
      <c r="I233" s="209"/>
      <c r="J233" s="209"/>
      <c r="K233" s="209"/>
      <c r="EN233" s="211" t="s">
        <v>3269</v>
      </c>
    </row>
    <row r="234" spans="1:144">
      <c r="A234" s="208"/>
      <c r="B234" s="209" t="s">
        <v>2644</v>
      </c>
      <c r="C234" s="211" t="s">
        <v>2564</v>
      </c>
      <c r="D234" s="212">
        <v>14.98</v>
      </c>
      <c r="E234" s="212">
        <v>1.8</v>
      </c>
      <c r="F234" s="209" t="s">
        <v>324</v>
      </c>
      <c r="G234" s="209"/>
      <c r="I234" s="209"/>
      <c r="J234" s="209"/>
      <c r="K234" s="209"/>
      <c r="EN234" s="211" t="s">
        <v>3271</v>
      </c>
    </row>
    <row r="235" spans="1:144">
      <c r="A235" s="208"/>
      <c r="B235" s="209" t="s">
        <v>2644</v>
      </c>
      <c r="C235" s="211" t="s">
        <v>2565</v>
      </c>
      <c r="D235" s="212">
        <v>15.89</v>
      </c>
      <c r="E235" s="212">
        <v>2.2999999999999998</v>
      </c>
      <c r="F235" s="212" t="s">
        <v>2347</v>
      </c>
      <c r="G235" s="209"/>
      <c r="I235" s="209"/>
      <c r="J235" s="209"/>
      <c r="K235" s="209"/>
      <c r="EN235" s="211" t="s">
        <v>3272</v>
      </c>
    </row>
    <row r="236" spans="1:144">
      <c r="B236" s="209" t="s">
        <v>2644</v>
      </c>
      <c r="C236" s="211" t="s">
        <v>437</v>
      </c>
      <c r="D236" s="212">
        <v>16.260000000000002</v>
      </c>
      <c r="E236" s="212">
        <v>1.8</v>
      </c>
      <c r="F236" s="209" t="s">
        <v>314</v>
      </c>
      <c r="G236" s="209"/>
      <c r="I236" s="209"/>
      <c r="J236" s="209"/>
      <c r="K236" s="209"/>
      <c r="EN236" s="211" t="s">
        <v>3273</v>
      </c>
    </row>
    <row r="237" spans="1:144">
      <c r="B237" s="209" t="s">
        <v>2644</v>
      </c>
      <c r="C237" s="211" t="s">
        <v>438</v>
      </c>
      <c r="D237" s="209" t="s">
        <v>439</v>
      </c>
      <c r="E237" s="209" t="s">
        <v>1658</v>
      </c>
      <c r="F237" s="209" t="s">
        <v>314</v>
      </c>
      <c r="G237" s="209"/>
      <c r="I237" s="209"/>
      <c r="J237" s="209"/>
      <c r="K237" s="209"/>
      <c r="EN237" s="211" t="s">
        <v>979</v>
      </c>
    </row>
    <row r="238" spans="1:144">
      <c r="A238" s="208" t="s">
        <v>2338</v>
      </c>
      <c r="B238" s="209" t="s">
        <v>2644</v>
      </c>
      <c r="C238" s="211" t="s">
        <v>441</v>
      </c>
      <c r="D238" s="212">
        <v>17.75</v>
      </c>
      <c r="E238" s="209" t="s">
        <v>407</v>
      </c>
      <c r="F238" s="209" t="s">
        <v>314</v>
      </c>
      <c r="G238" s="209"/>
      <c r="I238" s="209"/>
      <c r="J238" s="209"/>
      <c r="K238" s="209"/>
      <c r="EN238" s="211" t="s">
        <v>991</v>
      </c>
    </row>
    <row r="239" spans="1:144">
      <c r="A239" s="208"/>
      <c r="B239" s="209" t="s">
        <v>2644</v>
      </c>
      <c r="C239" s="211" t="s">
        <v>440</v>
      </c>
      <c r="D239" s="212">
        <v>17.75</v>
      </c>
      <c r="E239" s="212">
        <v>2.6</v>
      </c>
      <c r="F239" s="209" t="s">
        <v>316</v>
      </c>
      <c r="G239" s="209"/>
      <c r="I239" s="209"/>
      <c r="J239" s="209"/>
      <c r="K239" s="209"/>
      <c r="EN239" s="211" t="s">
        <v>994</v>
      </c>
    </row>
    <row r="240" spans="1:144">
      <c r="A240" s="208"/>
      <c r="B240" s="209" t="s">
        <v>2644</v>
      </c>
      <c r="C240" s="211" t="s">
        <v>5568</v>
      </c>
      <c r="D240" s="212" t="s">
        <v>5569</v>
      </c>
      <c r="E240" s="212" t="s">
        <v>5570</v>
      </c>
      <c r="F240" s="209" t="s">
        <v>5567</v>
      </c>
      <c r="G240" s="209"/>
      <c r="I240" s="209"/>
      <c r="J240" s="209"/>
      <c r="K240" s="209"/>
      <c r="EN240" s="211" t="s">
        <v>995</v>
      </c>
    </row>
    <row r="241" spans="1:144">
      <c r="A241" s="208"/>
      <c r="B241" s="209" t="s">
        <v>2644</v>
      </c>
      <c r="C241" s="211" t="s">
        <v>5612</v>
      </c>
      <c r="D241" s="212">
        <v>7.53</v>
      </c>
      <c r="E241" s="212">
        <v>1.58</v>
      </c>
      <c r="F241" s="209" t="s">
        <v>2339</v>
      </c>
      <c r="G241" s="209"/>
      <c r="I241" s="209"/>
      <c r="J241" s="209"/>
      <c r="K241" s="209"/>
      <c r="EN241" s="211" t="s">
        <v>1005</v>
      </c>
    </row>
    <row r="242" spans="1:144">
      <c r="A242" s="208"/>
      <c r="B242" s="209" t="s">
        <v>2645</v>
      </c>
      <c r="C242" s="211" t="s">
        <v>3516</v>
      </c>
      <c r="D242" s="212">
        <v>12.62</v>
      </c>
      <c r="E242" s="212">
        <v>2.02</v>
      </c>
      <c r="F242" s="212" t="s">
        <v>2343</v>
      </c>
      <c r="G242" s="209"/>
      <c r="I242" s="209"/>
      <c r="J242" s="209"/>
      <c r="K242" s="209"/>
      <c r="EN242" s="211" t="s">
        <v>467</v>
      </c>
    </row>
    <row r="243" spans="1:144">
      <c r="A243" s="208"/>
      <c r="B243" s="209" t="s">
        <v>2645</v>
      </c>
      <c r="C243" s="211" t="s">
        <v>3517</v>
      </c>
      <c r="D243" s="212">
        <v>14.99</v>
      </c>
      <c r="E243" s="212">
        <v>2.39</v>
      </c>
      <c r="F243" s="212" t="s">
        <v>326</v>
      </c>
      <c r="G243" s="209"/>
      <c r="I243" s="209"/>
      <c r="J243" s="212"/>
      <c r="K243" s="212"/>
      <c r="EN243" s="211" t="s">
        <v>50</v>
      </c>
    </row>
    <row r="244" spans="1:144">
      <c r="A244" s="208"/>
      <c r="B244" s="209" t="s">
        <v>2646</v>
      </c>
      <c r="C244" s="211" t="s">
        <v>3518</v>
      </c>
      <c r="D244" s="212">
        <v>12</v>
      </c>
      <c r="E244" s="212">
        <v>3.28</v>
      </c>
      <c r="F244" s="212" t="s">
        <v>2344</v>
      </c>
      <c r="G244" s="209"/>
      <c r="I244" s="212"/>
      <c r="J244" s="209"/>
      <c r="K244" s="209"/>
      <c r="EN244" s="211" t="s">
        <v>51</v>
      </c>
    </row>
    <row r="245" spans="1:144">
      <c r="A245" s="208"/>
      <c r="B245" s="209" t="s">
        <v>2646</v>
      </c>
      <c r="C245" s="211" t="s">
        <v>3519</v>
      </c>
      <c r="D245" s="212">
        <v>7.5</v>
      </c>
      <c r="E245" s="212">
        <v>1.7</v>
      </c>
      <c r="F245" s="212" t="s">
        <v>2341</v>
      </c>
      <c r="G245" s="209"/>
      <c r="I245" s="209"/>
      <c r="J245" s="212"/>
      <c r="K245" s="212"/>
      <c r="EN245" s="211" t="s">
        <v>56</v>
      </c>
    </row>
    <row r="246" spans="1:144">
      <c r="A246" s="208"/>
      <c r="B246" s="209" t="s">
        <v>2646</v>
      </c>
      <c r="C246" s="211" t="s">
        <v>3520</v>
      </c>
      <c r="D246" s="212">
        <v>9.5399999999999991</v>
      </c>
      <c r="E246" s="212">
        <v>2.1800000000000002</v>
      </c>
      <c r="F246" s="212" t="s">
        <v>319</v>
      </c>
      <c r="G246" s="209"/>
      <c r="I246" s="212"/>
      <c r="J246" s="212"/>
      <c r="K246" s="212"/>
      <c r="EN246" s="211" t="s">
        <v>57</v>
      </c>
    </row>
    <row r="247" spans="1:144">
      <c r="A247" s="208"/>
      <c r="B247" s="209" t="s">
        <v>2647</v>
      </c>
      <c r="C247" s="211" t="s">
        <v>3521</v>
      </c>
      <c r="D247" s="212">
        <v>11.07</v>
      </c>
      <c r="E247" s="212">
        <v>1.98</v>
      </c>
      <c r="F247" s="212" t="s">
        <v>2344</v>
      </c>
      <c r="G247" s="209"/>
      <c r="I247" s="212"/>
      <c r="J247" s="209"/>
      <c r="K247" s="209"/>
      <c r="EN247" s="211" t="s">
        <v>58</v>
      </c>
    </row>
    <row r="248" spans="1:144">
      <c r="A248" s="208"/>
      <c r="B248" s="209" t="s">
        <v>2647</v>
      </c>
      <c r="C248" s="211" t="s">
        <v>3522</v>
      </c>
      <c r="D248" s="212">
        <v>11.51</v>
      </c>
      <c r="E248" s="212">
        <v>2.02</v>
      </c>
      <c r="F248" s="212" t="s">
        <v>2347</v>
      </c>
      <c r="G248" s="209"/>
      <c r="I248" s="209"/>
      <c r="J248" s="209"/>
      <c r="K248" s="209"/>
      <c r="EN248" s="211" t="s">
        <v>59</v>
      </c>
    </row>
    <row r="249" spans="1:144">
      <c r="A249" s="208"/>
      <c r="B249" s="209" t="s">
        <v>2647</v>
      </c>
      <c r="C249" s="211" t="s">
        <v>3051</v>
      </c>
      <c r="D249" s="212">
        <v>12.16</v>
      </c>
      <c r="E249" s="212">
        <v>1.99</v>
      </c>
      <c r="F249" s="212" t="s">
        <v>2345</v>
      </c>
      <c r="G249" s="209"/>
      <c r="I249" s="209"/>
      <c r="J249" s="209"/>
      <c r="K249" s="209"/>
      <c r="EN249" s="211" t="s">
        <v>60</v>
      </c>
    </row>
    <row r="250" spans="1:144">
      <c r="A250" s="208"/>
      <c r="B250" s="209" t="s">
        <v>2647</v>
      </c>
      <c r="C250" s="211" t="s">
        <v>3052</v>
      </c>
      <c r="D250" s="212">
        <v>12.24</v>
      </c>
      <c r="E250" s="212">
        <v>2.4300000000000002</v>
      </c>
      <c r="F250" s="212" t="s">
        <v>343</v>
      </c>
      <c r="G250" s="212"/>
      <c r="I250" s="209"/>
      <c r="J250" s="209"/>
      <c r="K250" s="209"/>
      <c r="EN250" s="211" t="s">
        <v>61</v>
      </c>
    </row>
    <row r="251" spans="1:144">
      <c r="A251" s="208"/>
      <c r="B251" s="209" t="s">
        <v>2647</v>
      </c>
      <c r="C251" s="211" t="s">
        <v>3523</v>
      </c>
      <c r="D251" s="212">
        <v>9.14</v>
      </c>
      <c r="E251" s="212">
        <v>1.52</v>
      </c>
      <c r="F251" s="212" t="s">
        <v>2366</v>
      </c>
      <c r="G251" s="209"/>
      <c r="I251" s="209"/>
      <c r="J251" s="209"/>
      <c r="K251" s="209"/>
      <c r="EN251" s="211" t="s">
        <v>62</v>
      </c>
    </row>
    <row r="252" spans="1:144">
      <c r="A252" s="208"/>
      <c r="B252" s="209" t="s">
        <v>2647</v>
      </c>
      <c r="C252" s="211" t="s">
        <v>561</v>
      </c>
      <c r="D252" s="209" t="s">
        <v>2002</v>
      </c>
      <c r="E252" s="209" t="s">
        <v>1658</v>
      </c>
      <c r="F252" s="209" t="s">
        <v>557</v>
      </c>
      <c r="G252" s="212"/>
      <c r="I252" s="209"/>
      <c r="J252" s="209"/>
      <c r="K252" s="209"/>
      <c r="EN252" s="211" t="s">
        <v>73</v>
      </c>
    </row>
    <row r="253" spans="1:144">
      <c r="A253" s="208"/>
      <c r="B253" s="209" t="s">
        <v>2647</v>
      </c>
      <c r="C253" s="211" t="s">
        <v>3524</v>
      </c>
      <c r="D253" s="209" t="s">
        <v>1988</v>
      </c>
      <c r="E253" s="212">
        <v>1.72</v>
      </c>
      <c r="F253" s="212" t="s">
        <v>2370</v>
      </c>
      <c r="G253" s="212"/>
      <c r="I253" s="209"/>
      <c r="J253" s="209"/>
      <c r="K253" s="209"/>
      <c r="EN253" s="211" t="s">
        <v>74</v>
      </c>
    </row>
    <row r="254" spans="1:144">
      <c r="A254" s="208"/>
      <c r="B254" s="209" t="s">
        <v>2647</v>
      </c>
      <c r="C254" s="211" t="s">
        <v>1673</v>
      </c>
      <c r="D254" s="209" t="s">
        <v>1674</v>
      </c>
      <c r="E254" s="209" t="s">
        <v>1675</v>
      </c>
      <c r="F254" s="209" t="s">
        <v>327</v>
      </c>
      <c r="G254" s="209"/>
      <c r="H254" s="215"/>
      <c r="I254" s="209"/>
      <c r="J254" s="209"/>
      <c r="K254" s="209"/>
      <c r="EN254" s="211" t="s">
        <v>82</v>
      </c>
    </row>
    <row r="255" spans="1:144">
      <c r="A255" s="208"/>
      <c r="B255" s="209" t="s">
        <v>2647</v>
      </c>
      <c r="C255" s="211" t="s">
        <v>3053</v>
      </c>
      <c r="D255" s="212">
        <v>10.61</v>
      </c>
      <c r="E255" s="212">
        <v>2.0299999999999998</v>
      </c>
      <c r="F255" s="212" t="s">
        <v>324</v>
      </c>
      <c r="G255" s="209"/>
      <c r="I255" s="209"/>
      <c r="J255" s="209"/>
      <c r="K255" s="209"/>
      <c r="EN255" s="211" t="s">
        <v>83</v>
      </c>
    </row>
    <row r="256" spans="1:144">
      <c r="A256" s="208"/>
      <c r="B256" s="209" t="s">
        <v>2647</v>
      </c>
      <c r="C256" s="211" t="s">
        <v>3054</v>
      </c>
      <c r="D256" s="212">
        <v>10.85</v>
      </c>
      <c r="E256" s="212">
        <v>1.69</v>
      </c>
      <c r="F256" s="212" t="s">
        <v>2357</v>
      </c>
      <c r="G256" s="209"/>
      <c r="H256" s="215"/>
      <c r="I256" s="209"/>
      <c r="J256" s="209"/>
      <c r="K256" s="209"/>
      <c r="EN256" s="211" t="s">
        <v>84</v>
      </c>
    </row>
    <row r="257" spans="1:144">
      <c r="A257" s="208"/>
      <c r="B257" s="209" t="s">
        <v>2647</v>
      </c>
      <c r="C257" s="211" t="s">
        <v>3525</v>
      </c>
      <c r="D257" s="212">
        <v>12.06</v>
      </c>
      <c r="E257" s="212">
        <v>2.42</v>
      </c>
      <c r="F257" s="212" t="s">
        <v>2340</v>
      </c>
      <c r="G257" s="209"/>
      <c r="H257" s="215"/>
      <c r="I257" s="209"/>
      <c r="J257" s="209"/>
      <c r="K257" s="209"/>
      <c r="EN257" s="211" t="s">
        <v>85</v>
      </c>
    </row>
    <row r="258" spans="1:144">
      <c r="A258" s="208"/>
      <c r="B258" s="209" t="s">
        <v>2647</v>
      </c>
      <c r="C258" s="211" t="s">
        <v>3526</v>
      </c>
      <c r="D258" s="212">
        <v>12.04</v>
      </c>
      <c r="E258" s="212">
        <v>1.9</v>
      </c>
      <c r="F258" s="212" t="s">
        <v>3527</v>
      </c>
      <c r="G258" s="209"/>
      <c r="I258" s="209"/>
      <c r="J258" s="212"/>
      <c r="K258" s="212"/>
      <c r="EN258" s="211" t="s">
        <v>86</v>
      </c>
    </row>
    <row r="259" spans="1:144">
      <c r="A259" s="208"/>
      <c r="B259" s="209" t="s">
        <v>2647</v>
      </c>
      <c r="C259" s="211" t="s">
        <v>3055</v>
      </c>
      <c r="D259" s="212">
        <v>12.1</v>
      </c>
      <c r="E259" s="212">
        <v>2.1</v>
      </c>
      <c r="F259" s="212" t="s">
        <v>2353</v>
      </c>
      <c r="G259" s="209"/>
      <c r="I259" s="212"/>
      <c r="J259" s="209"/>
      <c r="K259" s="209"/>
      <c r="EN259" s="211" t="s">
        <v>87</v>
      </c>
    </row>
    <row r="260" spans="1:144">
      <c r="A260" s="208"/>
      <c r="B260" s="209" t="s">
        <v>2647</v>
      </c>
      <c r="C260" s="211" t="s">
        <v>3056</v>
      </c>
      <c r="D260" s="212">
        <v>12.13</v>
      </c>
      <c r="E260" s="212">
        <v>2.21</v>
      </c>
      <c r="F260" s="212" t="s">
        <v>2353</v>
      </c>
      <c r="G260" s="209"/>
      <c r="I260" s="209"/>
      <c r="J260" s="212"/>
      <c r="K260" s="212"/>
      <c r="EN260" s="211" t="s">
        <v>88</v>
      </c>
    </row>
    <row r="261" spans="1:144">
      <c r="A261" s="208"/>
      <c r="B261" s="209" t="s">
        <v>2647</v>
      </c>
      <c r="C261" s="211" t="s">
        <v>3057</v>
      </c>
      <c r="D261" s="212">
        <v>12.38</v>
      </c>
      <c r="E261" s="212">
        <v>2.35</v>
      </c>
      <c r="F261" s="212" t="s">
        <v>306</v>
      </c>
      <c r="G261" s="209"/>
      <c r="I261" s="212"/>
      <c r="J261" s="212"/>
      <c r="K261" s="212"/>
      <c r="EN261" s="211" t="s">
        <v>89</v>
      </c>
    </row>
    <row r="262" spans="1:144">
      <c r="A262" s="208"/>
      <c r="B262" s="209" t="s">
        <v>2647</v>
      </c>
      <c r="C262" s="211" t="s">
        <v>3528</v>
      </c>
      <c r="D262" s="209" t="s">
        <v>1989</v>
      </c>
      <c r="E262" s="209" t="s">
        <v>3529</v>
      </c>
      <c r="F262" s="212" t="s">
        <v>306</v>
      </c>
      <c r="G262" s="209"/>
      <c r="I262" s="212"/>
      <c r="J262" s="209"/>
      <c r="K262" s="209"/>
      <c r="EN262" s="211" t="s">
        <v>587</v>
      </c>
    </row>
    <row r="263" spans="1:144">
      <c r="A263" s="208"/>
      <c r="B263" s="209" t="s">
        <v>2647</v>
      </c>
      <c r="C263" s="211" t="s">
        <v>3058</v>
      </c>
      <c r="D263" s="209" t="s">
        <v>1990</v>
      </c>
      <c r="E263" s="212">
        <v>2.14</v>
      </c>
      <c r="F263" s="212" t="s">
        <v>3530</v>
      </c>
      <c r="G263" s="209"/>
      <c r="I263" s="209"/>
      <c r="J263" s="209"/>
      <c r="K263" s="209"/>
      <c r="EN263" s="211" t="s">
        <v>90</v>
      </c>
    </row>
    <row r="264" spans="1:144">
      <c r="A264" s="208"/>
      <c r="B264" s="209" t="s">
        <v>2647</v>
      </c>
      <c r="C264" s="211" t="s">
        <v>3059</v>
      </c>
      <c r="D264" s="212">
        <v>13.17</v>
      </c>
      <c r="E264" s="212">
        <v>2.5</v>
      </c>
      <c r="F264" s="212" t="s">
        <v>2370</v>
      </c>
      <c r="G264" s="209"/>
      <c r="I264" s="209"/>
      <c r="J264" s="212"/>
      <c r="K264" s="212"/>
      <c r="EN264" s="211" t="s">
        <v>471</v>
      </c>
    </row>
    <row r="265" spans="1:144">
      <c r="A265" s="208"/>
      <c r="B265" s="209" t="s">
        <v>2647</v>
      </c>
      <c r="C265" s="211" t="s">
        <v>3531</v>
      </c>
      <c r="D265" s="212">
        <v>14.65</v>
      </c>
      <c r="E265" s="212">
        <v>2.39</v>
      </c>
      <c r="F265" s="212" t="s">
        <v>3530</v>
      </c>
      <c r="G265" s="212"/>
      <c r="I265" s="212"/>
      <c r="J265" s="209"/>
      <c r="K265" s="209"/>
      <c r="EN265" s="211" t="s">
        <v>91</v>
      </c>
    </row>
    <row r="266" spans="1:144">
      <c r="A266" s="208"/>
      <c r="B266" s="209" t="s">
        <v>2647</v>
      </c>
      <c r="C266" s="211" t="s">
        <v>3061</v>
      </c>
      <c r="D266" s="209" t="s">
        <v>1991</v>
      </c>
      <c r="E266" s="212">
        <v>1.7</v>
      </c>
      <c r="F266" s="212" t="s">
        <v>321</v>
      </c>
      <c r="G266" s="209"/>
      <c r="I266" s="209"/>
      <c r="J266" s="209"/>
      <c r="K266" s="209"/>
      <c r="EN266" s="211" t="s">
        <v>92</v>
      </c>
    </row>
    <row r="267" spans="1:144">
      <c r="A267" s="208"/>
      <c r="B267" s="209" t="s">
        <v>2647</v>
      </c>
      <c r="C267" s="211" t="s">
        <v>3060</v>
      </c>
      <c r="D267" s="212">
        <v>9.91</v>
      </c>
      <c r="E267" s="212">
        <v>1.98</v>
      </c>
      <c r="F267" s="212" t="s">
        <v>2359</v>
      </c>
      <c r="G267" s="212"/>
      <c r="I267" s="209"/>
      <c r="J267" s="209"/>
      <c r="K267" s="209"/>
      <c r="EN267" s="211" t="s">
        <v>1358</v>
      </c>
    </row>
    <row r="268" spans="1:144">
      <c r="A268" s="208"/>
      <c r="B268" s="209" t="s">
        <v>2648</v>
      </c>
      <c r="C268" s="211" t="s">
        <v>3532</v>
      </c>
      <c r="D268" s="212">
        <v>8.61</v>
      </c>
      <c r="E268" s="212">
        <v>1.6</v>
      </c>
      <c r="F268" s="212" t="s">
        <v>332</v>
      </c>
      <c r="G268" s="212"/>
      <c r="I268" s="209"/>
      <c r="J268" s="209"/>
      <c r="K268" s="209"/>
      <c r="EN268" s="211" t="s">
        <v>4670</v>
      </c>
    </row>
    <row r="269" spans="1:144">
      <c r="A269" s="208"/>
      <c r="B269" s="209" t="s">
        <v>2648</v>
      </c>
      <c r="C269" s="211" t="s">
        <v>3533</v>
      </c>
      <c r="D269" s="212">
        <v>9.17</v>
      </c>
      <c r="E269" s="212">
        <v>1.34</v>
      </c>
      <c r="F269" s="209" t="s">
        <v>3534</v>
      </c>
      <c r="G269" s="209"/>
      <c r="H269" s="215"/>
      <c r="I269" s="209"/>
      <c r="J269" s="209"/>
      <c r="K269" s="209"/>
      <c r="EN269" s="211" t="s">
        <v>2635</v>
      </c>
    </row>
    <row r="270" spans="1:144">
      <c r="A270" s="208"/>
      <c r="B270" s="209" t="s">
        <v>2648</v>
      </c>
      <c r="C270" s="211" t="s">
        <v>3063</v>
      </c>
      <c r="D270" s="212">
        <v>11.8</v>
      </c>
      <c r="E270" s="212">
        <v>2.02</v>
      </c>
      <c r="F270" s="212" t="s">
        <v>2350</v>
      </c>
      <c r="G270" s="209"/>
      <c r="I270" s="209"/>
      <c r="J270" s="209"/>
      <c r="K270" s="209"/>
    </row>
    <row r="271" spans="1:144">
      <c r="A271" s="208"/>
      <c r="B271" s="209" t="s">
        <v>2648</v>
      </c>
      <c r="C271" s="211" t="s">
        <v>3535</v>
      </c>
      <c r="D271" s="212">
        <v>11.96</v>
      </c>
      <c r="E271" s="212">
        <v>1.77</v>
      </c>
      <c r="F271" s="212" t="s">
        <v>3536</v>
      </c>
      <c r="G271" s="212"/>
      <c r="H271" s="215"/>
      <c r="I271" s="209"/>
      <c r="J271" s="209"/>
      <c r="K271" s="209"/>
    </row>
    <row r="272" spans="1:144">
      <c r="A272" s="208"/>
      <c r="B272" s="209" t="s">
        <v>2649</v>
      </c>
      <c r="C272" s="211" t="s">
        <v>3540</v>
      </c>
      <c r="D272" s="209" t="s">
        <v>314</v>
      </c>
      <c r="E272" s="212">
        <v>1.89</v>
      </c>
      <c r="F272" s="212" t="s">
        <v>2357</v>
      </c>
      <c r="G272" s="209"/>
      <c r="H272" s="215"/>
      <c r="I272" s="209"/>
      <c r="J272" s="209"/>
      <c r="K272" s="209"/>
    </row>
    <row r="273" spans="1:11">
      <c r="A273" s="208"/>
      <c r="B273" s="209" t="s">
        <v>2649</v>
      </c>
      <c r="C273" s="211" t="s">
        <v>1679</v>
      </c>
      <c r="D273" s="209" t="s">
        <v>2041</v>
      </c>
      <c r="E273" s="209" t="s">
        <v>1665</v>
      </c>
      <c r="F273" s="209" t="s">
        <v>2357</v>
      </c>
      <c r="G273" s="209"/>
      <c r="I273" s="209"/>
      <c r="J273" s="209"/>
      <c r="K273" s="209"/>
    </row>
    <row r="274" spans="1:11">
      <c r="A274" s="208"/>
      <c r="B274" s="209" t="s">
        <v>2649</v>
      </c>
      <c r="C274" s="211" t="s">
        <v>3541</v>
      </c>
      <c r="D274" s="212">
        <v>9.9600000000000009</v>
      </c>
      <c r="E274" s="212">
        <v>1.85</v>
      </c>
      <c r="F274" s="212" t="s">
        <v>2366</v>
      </c>
      <c r="G274" s="209"/>
      <c r="I274" s="209"/>
      <c r="J274" s="209"/>
      <c r="K274" s="209"/>
    </row>
    <row r="275" spans="1:11">
      <c r="A275" s="208"/>
      <c r="B275" s="209" t="s">
        <v>2649</v>
      </c>
      <c r="C275" s="211" t="s">
        <v>3542</v>
      </c>
      <c r="D275" s="212">
        <v>10.79</v>
      </c>
      <c r="E275" s="212">
        <v>1.99</v>
      </c>
      <c r="F275" s="212" t="s">
        <v>2357</v>
      </c>
      <c r="G275" s="209"/>
      <c r="H275" s="215"/>
      <c r="I275" s="209"/>
      <c r="J275" s="212"/>
      <c r="K275" s="212"/>
    </row>
    <row r="276" spans="1:11">
      <c r="A276" s="208"/>
      <c r="B276" s="209" t="s">
        <v>2649</v>
      </c>
      <c r="C276" s="211" t="s">
        <v>3543</v>
      </c>
      <c r="D276" s="209" t="s">
        <v>1992</v>
      </c>
      <c r="E276" s="212">
        <v>1.97</v>
      </c>
      <c r="F276" s="212" t="s">
        <v>2357</v>
      </c>
      <c r="G276" s="209"/>
      <c r="I276" s="212"/>
      <c r="J276" s="212"/>
      <c r="K276" s="212"/>
    </row>
    <row r="277" spans="1:11">
      <c r="A277" s="208"/>
      <c r="B277" s="209" t="s">
        <v>2649</v>
      </c>
      <c r="C277" s="211" t="s">
        <v>3544</v>
      </c>
      <c r="D277" s="212">
        <v>11.31</v>
      </c>
      <c r="E277" s="212">
        <v>1.94</v>
      </c>
      <c r="F277" s="212" t="s">
        <v>2374</v>
      </c>
      <c r="G277" s="209"/>
      <c r="I277" s="212"/>
      <c r="J277" s="209"/>
      <c r="K277" s="209"/>
    </row>
    <row r="278" spans="1:11">
      <c r="A278" s="208"/>
      <c r="B278" s="209" t="s">
        <v>2649</v>
      </c>
      <c r="C278" s="211" t="s">
        <v>3545</v>
      </c>
      <c r="D278" s="212">
        <v>11.88</v>
      </c>
      <c r="E278" s="212">
        <v>2.19</v>
      </c>
      <c r="F278" s="212" t="s">
        <v>2355</v>
      </c>
      <c r="G278" s="209"/>
      <c r="I278" s="209"/>
      <c r="J278" s="209"/>
      <c r="K278" s="209"/>
    </row>
    <row r="279" spans="1:11">
      <c r="A279" s="208"/>
      <c r="B279" s="209" t="s">
        <v>2650</v>
      </c>
      <c r="C279" s="211" t="s">
        <v>3548</v>
      </c>
      <c r="D279" s="209" t="s">
        <v>1993</v>
      </c>
      <c r="E279" s="212">
        <v>1.64</v>
      </c>
      <c r="F279" s="212" t="s">
        <v>3530</v>
      </c>
      <c r="G279" s="209"/>
      <c r="I279" s="209"/>
      <c r="J279" s="209"/>
      <c r="K279" s="209"/>
    </row>
    <row r="280" spans="1:11">
      <c r="A280" s="208"/>
      <c r="B280" s="209" t="s">
        <v>2650</v>
      </c>
      <c r="C280" s="211" t="s">
        <v>3549</v>
      </c>
      <c r="D280" s="212">
        <v>9.1199999999999992</v>
      </c>
      <c r="E280" s="212">
        <v>1.17</v>
      </c>
      <c r="F280" s="212" t="s">
        <v>2341</v>
      </c>
      <c r="G280" s="209"/>
      <c r="I280" s="209"/>
      <c r="J280" s="212"/>
      <c r="K280" s="212"/>
    </row>
    <row r="281" spans="1:11">
      <c r="A281" s="208"/>
      <c r="B281" s="209" t="s">
        <v>2650</v>
      </c>
      <c r="C281" s="211" t="s">
        <v>3550</v>
      </c>
      <c r="D281" s="212">
        <v>11.07</v>
      </c>
      <c r="E281" s="212">
        <v>1.78</v>
      </c>
      <c r="F281" s="212" t="s">
        <v>2370</v>
      </c>
      <c r="G281" s="209"/>
      <c r="I281" s="212"/>
      <c r="J281" s="209"/>
      <c r="K281" s="209"/>
    </row>
    <row r="282" spans="1:11">
      <c r="A282" s="208"/>
      <c r="B282" s="209" t="s">
        <v>2650</v>
      </c>
      <c r="C282" s="211" t="s">
        <v>3551</v>
      </c>
      <c r="D282" s="212">
        <v>11.3</v>
      </c>
      <c r="E282" s="212">
        <v>2.13</v>
      </c>
      <c r="F282" s="212" t="s">
        <v>308</v>
      </c>
      <c r="G282" s="212"/>
      <c r="I282" s="209"/>
      <c r="J282" s="209"/>
      <c r="K282" s="209"/>
    </row>
    <row r="283" spans="1:11">
      <c r="A283" s="208"/>
      <c r="B283" s="209" t="s">
        <v>2650</v>
      </c>
      <c r="C283" s="211" t="s">
        <v>3065</v>
      </c>
      <c r="D283" s="212">
        <v>11.58</v>
      </c>
      <c r="E283" s="212">
        <v>1.55</v>
      </c>
      <c r="F283" s="212" t="s">
        <v>2353</v>
      </c>
      <c r="G283" s="212"/>
      <c r="I283" s="209"/>
      <c r="J283" s="209"/>
      <c r="K283" s="209"/>
    </row>
    <row r="284" spans="1:11">
      <c r="A284" s="208"/>
      <c r="B284" s="209" t="s">
        <v>2650</v>
      </c>
      <c r="C284" s="211" t="s">
        <v>3064</v>
      </c>
      <c r="D284" s="212">
        <v>11.58</v>
      </c>
      <c r="E284" s="212">
        <v>2.09</v>
      </c>
      <c r="F284" s="212" t="s">
        <v>2353</v>
      </c>
      <c r="G284" s="209"/>
      <c r="I284" s="209"/>
      <c r="J284" s="209"/>
      <c r="K284" s="209"/>
    </row>
    <row r="285" spans="1:11">
      <c r="A285" s="208"/>
      <c r="B285" s="209" t="s">
        <v>2650</v>
      </c>
      <c r="C285" s="211" t="s">
        <v>3552</v>
      </c>
      <c r="D285" s="212">
        <v>11.75</v>
      </c>
      <c r="E285" s="212">
        <v>1.65</v>
      </c>
      <c r="F285" s="212" t="s">
        <v>341</v>
      </c>
      <c r="G285" s="209"/>
      <c r="I285" s="209"/>
      <c r="J285" s="209"/>
      <c r="K285" s="209"/>
    </row>
    <row r="286" spans="1:11">
      <c r="A286" s="208"/>
      <c r="B286" s="209" t="s">
        <v>2650</v>
      </c>
      <c r="C286" s="211" t="s">
        <v>3066</v>
      </c>
      <c r="D286" s="209" t="s">
        <v>1994</v>
      </c>
      <c r="E286" s="212">
        <v>1.83</v>
      </c>
      <c r="F286" s="212" t="s">
        <v>329</v>
      </c>
      <c r="G286" s="209"/>
      <c r="H286" s="215"/>
      <c r="I286" s="209"/>
      <c r="J286" s="212"/>
      <c r="K286" s="212"/>
    </row>
    <row r="287" spans="1:11">
      <c r="A287" s="208"/>
      <c r="B287" s="209" t="s">
        <v>2650</v>
      </c>
      <c r="C287" s="211" t="s">
        <v>3067</v>
      </c>
      <c r="D287" s="209" t="s">
        <v>1995</v>
      </c>
      <c r="E287" s="212">
        <v>2.0299999999999998</v>
      </c>
      <c r="F287" s="212" t="s">
        <v>2341</v>
      </c>
      <c r="G287" s="212"/>
      <c r="H287" s="215"/>
      <c r="I287" s="209"/>
      <c r="J287" s="212"/>
      <c r="K287" s="212"/>
    </row>
    <row r="288" spans="1:11">
      <c r="A288" s="208"/>
      <c r="B288" s="209" t="s">
        <v>2651</v>
      </c>
      <c r="C288" s="211" t="s">
        <v>3553</v>
      </c>
      <c r="D288" s="212">
        <v>9.73</v>
      </c>
      <c r="E288" s="212">
        <v>1.6</v>
      </c>
      <c r="F288" s="212" t="s">
        <v>2372</v>
      </c>
      <c r="G288" s="209"/>
      <c r="I288" s="212"/>
      <c r="J288" s="209"/>
      <c r="K288" s="209"/>
    </row>
    <row r="289" spans="1:16">
      <c r="A289" s="208"/>
      <c r="B289" s="209" t="s">
        <v>2651</v>
      </c>
      <c r="C289" s="211" t="s">
        <v>3069</v>
      </c>
      <c r="D289" s="209" t="s">
        <v>1996</v>
      </c>
      <c r="E289" s="212">
        <v>1.67</v>
      </c>
      <c r="F289" s="212" t="s">
        <v>3539</v>
      </c>
      <c r="G289" s="209"/>
      <c r="I289" s="209"/>
      <c r="J289" s="209"/>
      <c r="K289" s="209"/>
    </row>
    <row r="290" spans="1:16">
      <c r="A290" s="208"/>
      <c r="B290" s="209" t="s">
        <v>2651</v>
      </c>
      <c r="C290" s="211" t="s">
        <v>3068</v>
      </c>
      <c r="D290" s="212">
        <v>10.5</v>
      </c>
      <c r="E290" s="212">
        <v>1.98</v>
      </c>
      <c r="F290" s="212" t="s">
        <v>2341</v>
      </c>
      <c r="G290" s="209"/>
      <c r="I290" s="209"/>
      <c r="J290" s="212"/>
      <c r="K290" s="212"/>
    </row>
    <row r="291" spans="1:16">
      <c r="A291" s="208"/>
      <c r="B291" s="209" t="s">
        <v>2651</v>
      </c>
      <c r="C291" s="211" t="s">
        <v>3554</v>
      </c>
      <c r="D291" s="212">
        <v>10.65</v>
      </c>
      <c r="E291" s="212">
        <v>2.16</v>
      </c>
      <c r="F291" s="212" t="s">
        <v>329</v>
      </c>
      <c r="G291" s="209"/>
      <c r="H291" s="215"/>
      <c r="I291" s="212"/>
      <c r="J291" s="209"/>
      <c r="K291" s="209"/>
    </row>
    <row r="292" spans="1:16">
      <c r="A292" s="208"/>
      <c r="B292" s="209" t="s">
        <v>2651</v>
      </c>
      <c r="C292" s="211" t="s">
        <v>3555</v>
      </c>
      <c r="D292" s="212">
        <v>10.65</v>
      </c>
      <c r="E292" s="212">
        <v>2.1</v>
      </c>
      <c r="F292" s="212" t="s">
        <v>329</v>
      </c>
      <c r="G292" s="209"/>
      <c r="I292" s="209"/>
      <c r="J292" s="212"/>
      <c r="K292" s="212"/>
    </row>
    <row r="293" spans="1:16">
      <c r="A293" s="208"/>
      <c r="B293" s="209" t="s">
        <v>2651</v>
      </c>
      <c r="C293" s="211" t="s">
        <v>3556</v>
      </c>
      <c r="D293" s="212">
        <v>11.23</v>
      </c>
      <c r="E293" s="212">
        <v>1.96</v>
      </c>
      <c r="F293" s="212" t="s">
        <v>2372</v>
      </c>
      <c r="G293" s="209"/>
      <c r="I293" s="212"/>
      <c r="J293" s="209"/>
      <c r="K293" s="209"/>
    </row>
    <row r="294" spans="1:16">
      <c r="A294" s="208"/>
      <c r="B294" s="209" t="s">
        <v>2651</v>
      </c>
      <c r="C294" s="211" t="s">
        <v>3557</v>
      </c>
      <c r="D294" s="212">
        <v>11.95</v>
      </c>
      <c r="E294" s="212">
        <v>2.0299999999999998</v>
      </c>
      <c r="F294" s="212" t="s">
        <v>3539</v>
      </c>
      <c r="G294" s="212"/>
      <c r="I294" s="209"/>
      <c r="J294" s="209"/>
      <c r="K294" s="209"/>
    </row>
    <row r="295" spans="1:16">
      <c r="A295" s="208"/>
      <c r="B295" s="209" t="s">
        <v>2651</v>
      </c>
      <c r="C295" s="211" t="s">
        <v>3558</v>
      </c>
      <c r="D295" s="209" t="s">
        <v>1997</v>
      </c>
      <c r="E295" s="212">
        <v>1.58</v>
      </c>
      <c r="F295" s="212" t="s">
        <v>2350</v>
      </c>
      <c r="G295" s="209"/>
      <c r="I295" s="209"/>
      <c r="J295" s="212"/>
      <c r="K295" s="212"/>
    </row>
    <row r="296" spans="1:16">
      <c r="A296" s="208"/>
      <c r="B296" s="209" t="s">
        <v>2652</v>
      </c>
      <c r="C296" s="211" t="s">
        <v>3559</v>
      </c>
      <c r="D296" s="212">
        <v>12.55</v>
      </c>
      <c r="E296" s="212">
        <v>2.0099999999999998</v>
      </c>
      <c r="F296" s="212" t="s">
        <v>3560</v>
      </c>
      <c r="G296" s="209"/>
      <c r="H296" s="215"/>
      <c r="I296" s="212"/>
      <c r="J296" s="212"/>
      <c r="K296" s="212"/>
    </row>
    <row r="297" spans="1:16">
      <c r="A297" s="208"/>
      <c r="B297" s="209" t="s">
        <v>2652</v>
      </c>
      <c r="C297" s="211" t="s">
        <v>3561</v>
      </c>
      <c r="D297" s="209" t="s">
        <v>1985</v>
      </c>
      <c r="E297" s="209" t="s">
        <v>1998</v>
      </c>
      <c r="F297" s="212"/>
      <c r="G297" s="212"/>
      <c r="I297" s="212"/>
      <c r="J297" s="212"/>
      <c r="K297" s="212"/>
    </row>
    <row r="298" spans="1:16">
      <c r="A298" s="208"/>
      <c r="B298" s="209" t="s">
        <v>2653</v>
      </c>
      <c r="C298" s="211" t="s">
        <v>3563</v>
      </c>
      <c r="D298" s="209" t="s">
        <v>1997</v>
      </c>
      <c r="E298" s="212">
        <v>1.72</v>
      </c>
      <c r="F298" s="212" t="s">
        <v>2350</v>
      </c>
      <c r="G298" s="209"/>
      <c r="H298" s="215"/>
      <c r="I298" s="212"/>
      <c r="J298" s="212"/>
      <c r="K298" s="212"/>
    </row>
    <row r="299" spans="1:16">
      <c r="A299" s="208"/>
      <c r="B299" s="209" t="s">
        <v>2653</v>
      </c>
      <c r="C299" s="211" t="s">
        <v>3070</v>
      </c>
      <c r="D299" s="209" t="s">
        <v>1989</v>
      </c>
      <c r="E299" s="212">
        <v>1.92</v>
      </c>
      <c r="F299" s="212" t="s">
        <v>321</v>
      </c>
      <c r="G299" s="212"/>
      <c r="I299" s="212"/>
      <c r="J299" s="209"/>
      <c r="K299" s="209"/>
    </row>
    <row r="300" spans="1:16">
      <c r="A300" s="208"/>
      <c r="B300" s="209" t="s">
        <v>2653</v>
      </c>
      <c r="C300" s="211" t="s">
        <v>3564</v>
      </c>
      <c r="D300" s="212">
        <v>12.87</v>
      </c>
      <c r="E300" s="212">
        <v>2.35</v>
      </c>
      <c r="F300" s="212" t="s">
        <v>306</v>
      </c>
      <c r="G300" s="209"/>
      <c r="I300" s="209"/>
      <c r="J300" s="212"/>
      <c r="K300" s="212"/>
      <c r="P300" s="279"/>
    </row>
    <row r="301" spans="1:16">
      <c r="A301" s="208"/>
      <c r="B301" s="209" t="s">
        <v>2653</v>
      </c>
      <c r="C301" s="211" t="s">
        <v>3072</v>
      </c>
      <c r="D301" s="212">
        <v>13.72</v>
      </c>
      <c r="E301" s="212">
        <v>1.95</v>
      </c>
      <c r="F301" s="212" t="s">
        <v>310</v>
      </c>
      <c r="G301" s="209"/>
      <c r="H301" s="215"/>
      <c r="I301" s="212"/>
      <c r="J301" s="209"/>
      <c r="K301" s="209"/>
    </row>
    <row r="302" spans="1:16">
      <c r="A302" s="208"/>
      <c r="B302" s="209" t="s">
        <v>2653</v>
      </c>
      <c r="C302" s="211" t="s">
        <v>3071</v>
      </c>
      <c r="D302" s="212">
        <v>13.72</v>
      </c>
      <c r="E302" s="212">
        <v>2.5</v>
      </c>
      <c r="F302" s="212" t="s">
        <v>310</v>
      </c>
      <c r="G302" s="212"/>
      <c r="I302" s="209"/>
      <c r="J302" s="212"/>
      <c r="K302" s="212"/>
    </row>
    <row r="303" spans="1:16">
      <c r="A303" s="208"/>
      <c r="B303" s="209" t="s">
        <v>2653</v>
      </c>
      <c r="C303" s="211" t="s">
        <v>3565</v>
      </c>
      <c r="D303" s="212">
        <v>14.53</v>
      </c>
      <c r="E303" s="212">
        <v>2.65</v>
      </c>
      <c r="F303" s="212" t="s">
        <v>3508</v>
      </c>
      <c r="G303" s="212"/>
      <c r="H303" s="215"/>
      <c r="I303" s="212"/>
      <c r="J303" s="209"/>
      <c r="K303" s="209"/>
    </row>
    <row r="304" spans="1:16">
      <c r="A304" s="208"/>
      <c r="B304" s="209" t="s">
        <v>2654</v>
      </c>
      <c r="C304" s="211" t="s">
        <v>759</v>
      </c>
      <c r="D304" s="212">
        <v>20.420000000000002</v>
      </c>
      <c r="E304" s="212">
        <v>3</v>
      </c>
      <c r="F304" s="212" t="s">
        <v>308</v>
      </c>
      <c r="G304" s="212"/>
      <c r="I304" s="209"/>
      <c r="J304" s="209"/>
      <c r="K304" s="209"/>
    </row>
    <row r="305" spans="1:11">
      <c r="A305" s="208"/>
      <c r="B305" s="209" t="s">
        <v>2654</v>
      </c>
      <c r="C305" s="211" t="s">
        <v>760</v>
      </c>
      <c r="D305" s="212">
        <v>21.63</v>
      </c>
      <c r="E305" s="212">
        <v>3.2</v>
      </c>
      <c r="F305" s="212" t="s">
        <v>343</v>
      </c>
      <c r="G305" s="212"/>
      <c r="I305" s="209"/>
      <c r="J305" s="209"/>
      <c r="K305" s="209"/>
    </row>
    <row r="306" spans="1:11">
      <c r="A306" s="208"/>
      <c r="B306" s="209" t="s">
        <v>1685</v>
      </c>
      <c r="C306" s="30" t="s">
        <v>1686</v>
      </c>
      <c r="D306" s="30">
        <v>12.18</v>
      </c>
      <c r="E306" s="294">
        <v>3</v>
      </c>
      <c r="F306" s="209" t="s">
        <v>2348</v>
      </c>
      <c r="G306" s="209"/>
      <c r="H306" s="215"/>
      <c r="I306" s="209"/>
      <c r="J306" s="209"/>
      <c r="K306" s="209"/>
    </row>
    <row r="307" spans="1:11">
      <c r="A307" s="208"/>
      <c r="B307" s="209" t="s">
        <v>1685</v>
      </c>
      <c r="C307" s="30" t="s">
        <v>1687</v>
      </c>
      <c r="D307" s="30">
        <v>12.18</v>
      </c>
      <c r="E307" s="294">
        <v>3</v>
      </c>
      <c r="F307" s="209" t="s">
        <v>2348</v>
      </c>
      <c r="G307" s="212"/>
      <c r="H307" s="215"/>
      <c r="I307" s="209"/>
      <c r="J307" s="209"/>
      <c r="K307" s="209"/>
    </row>
    <row r="308" spans="1:11">
      <c r="A308" s="208"/>
      <c r="B308" s="209" t="s">
        <v>1685</v>
      </c>
      <c r="C308" s="30" t="s">
        <v>1688</v>
      </c>
      <c r="D308" s="30">
        <v>12.19</v>
      </c>
      <c r="E308" s="294">
        <v>3</v>
      </c>
      <c r="F308" s="209" t="s">
        <v>2348</v>
      </c>
      <c r="G308" s="209"/>
      <c r="H308" s="215"/>
      <c r="I308" s="209"/>
      <c r="J308" s="209"/>
      <c r="K308" s="209"/>
    </row>
    <row r="309" spans="1:11">
      <c r="A309" s="208"/>
      <c r="B309" s="209" t="s">
        <v>1685</v>
      </c>
      <c r="C309" s="30" t="s">
        <v>1689</v>
      </c>
      <c r="D309" s="30">
        <v>12.18</v>
      </c>
      <c r="E309" s="294">
        <v>3</v>
      </c>
      <c r="F309" s="209" t="s">
        <v>321</v>
      </c>
      <c r="G309" s="212"/>
      <c r="H309" s="215"/>
      <c r="I309" s="209"/>
      <c r="J309" s="209"/>
      <c r="K309" s="209"/>
    </row>
    <row r="310" spans="1:11">
      <c r="A310" s="208"/>
      <c r="B310" s="209" t="s">
        <v>1685</v>
      </c>
      <c r="C310" s="30" t="s">
        <v>1690</v>
      </c>
      <c r="D310" s="30">
        <v>12.19</v>
      </c>
      <c r="E310" s="294">
        <v>2.2000000000000002</v>
      </c>
      <c r="F310" s="209" t="s">
        <v>2347</v>
      </c>
      <c r="G310" s="209"/>
      <c r="I310" s="209"/>
      <c r="J310" s="209"/>
      <c r="K310" s="209"/>
    </row>
    <row r="311" spans="1:11">
      <c r="A311" s="208"/>
      <c r="B311" s="209" t="s">
        <v>1685</v>
      </c>
      <c r="C311" s="30" t="s">
        <v>1691</v>
      </c>
      <c r="D311" s="30">
        <v>12.18</v>
      </c>
      <c r="E311" s="294">
        <v>3</v>
      </c>
      <c r="F311" s="209" t="s">
        <v>2347</v>
      </c>
      <c r="G311" s="209"/>
      <c r="H311" s="215"/>
      <c r="I311" s="209"/>
      <c r="J311" s="209"/>
      <c r="K311" s="209"/>
    </row>
    <row r="312" spans="1:11">
      <c r="A312" s="208"/>
      <c r="B312" s="209" t="s">
        <v>2655</v>
      </c>
      <c r="C312" s="211" t="s">
        <v>3572</v>
      </c>
      <c r="D312" s="212">
        <v>11</v>
      </c>
      <c r="E312" s="212">
        <v>2.21</v>
      </c>
      <c r="F312" s="212" t="s">
        <v>343</v>
      </c>
      <c r="G312" s="209"/>
      <c r="I312" s="209"/>
      <c r="J312" s="209"/>
      <c r="K312" s="209"/>
    </row>
    <row r="313" spans="1:11">
      <c r="A313" s="208"/>
      <c r="B313" s="209" t="s">
        <v>2655</v>
      </c>
      <c r="C313" s="211" t="s">
        <v>3573</v>
      </c>
      <c r="D313" s="209" t="s">
        <v>1999</v>
      </c>
      <c r="E313" s="212">
        <v>1.83</v>
      </c>
      <c r="F313" s="212" t="s">
        <v>2339</v>
      </c>
      <c r="G313" s="209"/>
      <c r="H313" s="215"/>
      <c r="I313" s="209"/>
      <c r="J313" s="209"/>
      <c r="K313" s="209"/>
    </row>
    <row r="314" spans="1:11">
      <c r="A314" s="208"/>
      <c r="B314" s="209" t="s">
        <v>2655</v>
      </c>
      <c r="C314" s="211" t="s">
        <v>3574</v>
      </c>
      <c r="D314" s="212">
        <v>9.5</v>
      </c>
      <c r="E314" s="212">
        <v>2.1</v>
      </c>
      <c r="F314" s="212" t="s">
        <v>319</v>
      </c>
      <c r="G314" s="209"/>
      <c r="I314" s="209"/>
      <c r="J314" s="212"/>
      <c r="K314" s="212"/>
    </row>
    <row r="315" spans="1:11">
      <c r="A315" s="208"/>
      <c r="B315" s="209" t="s">
        <v>5397</v>
      </c>
      <c r="C315" s="211" t="s">
        <v>3575</v>
      </c>
      <c r="D315" s="212">
        <v>9.9600000000000009</v>
      </c>
      <c r="E315" s="212">
        <v>2.16</v>
      </c>
      <c r="F315" s="209" t="s">
        <v>314</v>
      </c>
      <c r="G315" s="209"/>
      <c r="I315" s="212"/>
      <c r="J315" s="209"/>
      <c r="K315" s="209"/>
    </row>
    <row r="316" spans="1:11">
      <c r="A316" s="208"/>
      <c r="B316" s="209" t="s">
        <v>5397</v>
      </c>
      <c r="C316" s="211" t="s">
        <v>5396</v>
      </c>
      <c r="D316" s="209" t="s">
        <v>5398</v>
      </c>
      <c r="E316" s="209" t="s">
        <v>1660</v>
      </c>
      <c r="F316" s="209" t="s">
        <v>5297</v>
      </c>
      <c r="G316" s="209"/>
      <c r="I316" s="209"/>
      <c r="J316" s="209"/>
      <c r="K316" s="209"/>
    </row>
    <row r="317" spans="1:11">
      <c r="A317" s="208"/>
      <c r="B317" s="209" t="s">
        <v>5397</v>
      </c>
      <c r="C317" s="211" t="s">
        <v>5606</v>
      </c>
      <c r="D317" s="209" t="s">
        <v>5398</v>
      </c>
      <c r="E317" s="209" t="s">
        <v>421</v>
      </c>
      <c r="F317" s="209" t="s">
        <v>5297</v>
      </c>
      <c r="G317" s="209"/>
      <c r="I317" s="209"/>
      <c r="J317" s="209"/>
      <c r="K317" s="209"/>
    </row>
    <row r="318" spans="1:11">
      <c r="A318" s="208"/>
      <c r="B318" s="209" t="s">
        <v>5397</v>
      </c>
      <c r="C318" s="211" t="s">
        <v>562</v>
      </c>
      <c r="D318" s="209" t="s">
        <v>563</v>
      </c>
      <c r="E318" s="209" t="s">
        <v>564</v>
      </c>
      <c r="F318" s="209" t="s">
        <v>557</v>
      </c>
      <c r="G318" s="209"/>
      <c r="I318" s="209"/>
      <c r="J318" s="209"/>
      <c r="K318" s="209"/>
    </row>
    <row r="319" spans="1:11">
      <c r="A319" s="208"/>
      <c r="B319" s="209" t="s">
        <v>2656</v>
      </c>
      <c r="C319" s="211" t="s">
        <v>489</v>
      </c>
      <c r="D319" s="209" t="s">
        <v>1221</v>
      </c>
      <c r="E319" s="209" t="s">
        <v>407</v>
      </c>
      <c r="F319" s="209" t="s">
        <v>2359</v>
      </c>
      <c r="G319" s="209"/>
      <c r="I319" s="209"/>
      <c r="J319" s="212"/>
      <c r="K319" s="212"/>
    </row>
    <row r="320" spans="1:11">
      <c r="A320" s="208"/>
      <c r="B320" s="209" t="s">
        <v>2656</v>
      </c>
      <c r="C320" s="211" t="s">
        <v>3579</v>
      </c>
      <c r="D320" s="212">
        <v>11.4</v>
      </c>
      <c r="E320" s="212">
        <v>2.0499999999999998</v>
      </c>
      <c r="F320" s="209" t="s">
        <v>311</v>
      </c>
      <c r="G320" s="209"/>
      <c r="I320" s="212"/>
      <c r="J320" s="209"/>
      <c r="K320" s="209"/>
    </row>
    <row r="321" spans="1:11">
      <c r="A321" s="208"/>
      <c r="B321" s="209" t="s">
        <v>2656</v>
      </c>
      <c r="C321" s="211" t="s">
        <v>3577</v>
      </c>
      <c r="D321" s="209" t="s">
        <v>2001</v>
      </c>
      <c r="E321" s="212">
        <v>2.4</v>
      </c>
      <c r="F321" s="209" t="s">
        <v>2362</v>
      </c>
      <c r="G321" s="212"/>
      <c r="I321" s="209"/>
      <c r="J321" s="209"/>
      <c r="K321" s="209"/>
    </row>
    <row r="322" spans="1:11">
      <c r="A322" s="208"/>
      <c r="B322" s="209" t="s">
        <v>2656</v>
      </c>
      <c r="C322" s="211" t="s">
        <v>3578</v>
      </c>
      <c r="D322" s="212">
        <v>13.72</v>
      </c>
      <c r="E322" s="212">
        <v>2.7</v>
      </c>
      <c r="F322" s="209" t="s">
        <v>2345</v>
      </c>
      <c r="G322" s="209"/>
      <c r="I322" s="209"/>
      <c r="J322" s="209"/>
      <c r="K322" s="209"/>
    </row>
    <row r="323" spans="1:11">
      <c r="A323" s="208"/>
      <c r="B323" s="209" t="s">
        <v>2656</v>
      </c>
      <c r="C323" s="211" t="s">
        <v>3580</v>
      </c>
      <c r="D323" s="212">
        <v>9.1300000000000008</v>
      </c>
      <c r="E323" s="212">
        <v>1.7</v>
      </c>
      <c r="F323" s="212" t="s">
        <v>3527</v>
      </c>
      <c r="G323" s="209"/>
      <c r="I323" s="209"/>
      <c r="J323" s="209"/>
      <c r="K323" s="209"/>
    </row>
    <row r="324" spans="1:11">
      <c r="A324" s="208"/>
      <c r="B324" s="209" t="s">
        <v>2656</v>
      </c>
      <c r="C324" s="211" t="s">
        <v>485</v>
      </c>
      <c r="D324" s="209" t="s">
        <v>486</v>
      </c>
      <c r="E324" s="209" t="s">
        <v>487</v>
      </c>
      <c r="F324" s="209" t="s">
        <v>2370</v>
      </c>
      <c r="G324" s="209"/>
      <c r="I324" s="209"/>
      <c r="J324" s="209"/>
      <c r="K324" s="209"/>
    </row>
    <row r="325" spans="1:11">
      <c r="A325" s="208"/>
      <c r="B325" s="209" t="s">
        <v>2656</v>
      </c>
      <c r="C325" s="211" t="s">
        <v>488</v>
      </c>
      <c r="D325" s="209" t="s">
        <v>1983</v>
      </c>
      <c r="E325" s="209" t="s">
        <v>407</v>
      </c>
      <c r="F325" s="209" t="s">
        <v>306</v>
      </c>
      <c r="G325" s="209"/>
      <c r="H325" s="215"/>
      <c r="I325" s="209"/>
      <c r="J325" s="209"/>
      <c r="K325" s="209"/>
    </row>
    <row r="326" spans="1:11">
      <c r="A326" s="208"/>
      <c r="B326" s="209" t="s">
        <v>2657</v>
      </c>
      <c r="C326" s="211" t="s">
        <v>3581</v>
      </c>
      <c r="D326" s="209" t="s">
        <v>2002</v>
      </c>
      <c r="E326" s="212">
        <v>1.67</v>
      </c>
      <c r="F326" s="212" t="s">
        <v>2366</v>
      </c>
      <c r="G326" s="212"/>
      <c r="I326" s="209"/>
      <c r="J326" s="209"/>
      <c r="K326" s="209"/>
    </row>
    <row r="327" spans="1:11">
      <c r="A327" s="208"/>
      <c r="B327" s="209" t="s">
        <v>2657</v>
      </c>
      <c r="C327" s="211" t="s">
        <v>2933</v>
      </c>
      <c r="D327" s="212">
        <v>9.06</v>
      </c>
      <c r="E327" s="212">
        <v>1.73</v>
      </c>
      <c r="F327" s="212" t="s">
        <v>2357</v>
      </c>
      <c r="G327" s="209"/>
      <c r="I327" s="209"/>
      <c r="J327" s="212"/>
      <c r="K327" s="212"/>
    </row>
    <row r="328" spans="1:11">
      <c r="A328" s="208"/>
      <c r="B328" s="209" t="s">
        <v>2657</v>
      </c>
      <c r="C328" s="211" t="s">
        <v>2934</v>
      </c>
      <c r="D328" s="212">
        <v>9.44</v>
      </c>
      <c r="E328" s="212">
        <v>1.67</v>
      </c>
      <c r="F328" s="212" t="s">
        <v>327</v>
      </c>
      <c r="G328" s="209"/>
      <c r="I328" s="212"/>
      <c r="J328" s="209"/>
      <c r="K328" s="209"/>
    </row>
    <row r="329" spans="1:11">
      <c r="A329" s="208"/>
      <c r="B329" s="209" t="s">
        <v>2657</v>
      </c>
      <c r="C329" s="211" t="s">
        <v>2935</v>
      </c>
      <c r="D329" s="212">
        <v>10.199999999999999</v>
      </c>
      <c r="E329" s="212">
        <v>1.82</v>
      </c>
      <c r="F329" s="212" t="s">
        <v>2357</v>
      </c>
      <c r="G329" s="209"/>
      <c r="I329" s="209"/>
      <c r="J329" s="209"/>
      <c r="K329" s="209"/>
    </row>
    <row r="330" spans="1:11">
      <c r="A330" s="208" t="s">
        <v>2342</v>
      </c>
      <c r="B330" s="209" t="s">
        <v>2658</v>
      </c>
      <c r="C330" s="211" t="s">
        <v>2936</v>
      </c>
      <c r="D330" s="209" t="s">
        <v>2003</v>
      </c>
      <c r="E330" s="212">
        <v>1.7</v>
      </c>
      <c r="F330" s="212" t="s">
        <v>3560</v>
      </c>
      <c r="G330" s="209"/>
      <c r="H330" s="215"/>
      <c r="I330" s="209"/>
      <c r="J330" s="212"/>
      <c r="K330" s="212"/>
    </row>
    <row r="331" spans="1:11">
      <c r="A331" s="208"/>
      <c r="B331" s="209" t="s">
        <v>2658</v>
      </c>
      <c r="C331" s="211" t="s">
        <v>2937</v>
      </c>
      <c r="D331" s="209" t="s">
        <v>2004</v>
      </c>
      <c r="E331" s="212">
        <v>1.98</v>
      </c>
      <c r="F331" s="212" t="s">
        <v>332</v>
      </c>
      <c r="G331" s="209"/>
      <c r="I331" s="212"/>
      <c r="J331" s="209"/>
      <c r="K331" s="209"/>
    </row>
    <row r="332" spans="1:11">
      <c r="A332" s="208"/>
      <c r="B332" s="209" t="s">
        <v>2658</v>
      </c>
      <c r="C332" s="211" t="s">
        <v>2938</v>
      </c>
      <c r="D332" s="212">
        <v>12.8</v>
      </c>
      <c r="E332" s="212">
        <v>2.3199999999999998</v>
      </c>
      <c r="F332" s="212" t="s">
        <v>2344</v>
      </c>
      <c r="G332" s="209"/>
      <c r="I332" s="209"/>
      <c r="J332" s="212"/>
      <c r="K332" s="212"/>
    </row>
    <row r="333" spans="1:11">
      <c r="A333" s="208"/>
      <c r="B333" s="209" t="s">
        <v>2659</v>
      </c>
      <c r="C333" s="211" t="s">
        <v>2939</v>
      </c>
      <c r="D333" s="209" t="s">
        <v>2005</v>
      </c>
      <c r="E333" s="212">
        <v>1.75</v>
      </c>
      <c r="F333" s="212" t="s">
        <v>327</v>
      </c>
      <c r="G333" s="209"/>
      <c r="I333" s="212"/>
      <c r="J333" s="212"/>
      <c r="K333" s="212"/>
    </row>
    <row r="334" spans="1:11">
      <c r="A334" s="208"/>
      <c r="B334" s="209" t="s">
        <v>2659</v>
      </c>
      <c r="C334" s="211" t="s">
        <v>2940</v>
      </c>
      <c r="D334" s="209" t="s">
        <v>2006</v>
      </c>
      <c r="E334" s="212">
        <v>1.88</v>
      </c>
      <c r="F334" s="212" t="s">
        <v>3530</v>
      </c>
      <c r="G334" s="212"/>
      <c r="I334" s="212"/>
      <c r="J334" s="209"/>
      <c r="K334" s="209"/>
    </row>
    <row r="335" spans="1:11">
      <c r="A335" s="208"/>
      <c r="B335" s="209" t="s">
        <v>2660</v>
      </c>
      <c r="C335" s="211" t="s">
        <v>2941</v>
      </c>
      <c r="D335" s="212">
        <v>7.82</v>
      </c>
      <c r="E335" s="212">
        <v>1.28</v>
      </c>
      <c r="F335" s="212" t="s">
        <v>2942</v>
      </c>
      <c r="G335" s="209"/>
      <c r="I335" s="209"/>
      <c r="J335" s="209"/>
      <c r="K335" s="209"/>
    </row>
    <row r="336" spans="1:11">
      <c r="A336" s="208" t="s">
        <v>2342</v>
      </c>
      <c r="B336" s="209" t="s">
        <v>2660</v>
      </c>
      <c r="C336" s="211" t="s">
        <v>2943</v>
      </c>
      <c r="D336" s="212">
        <v>8.43</v>
      </c>
      <c r="E336" s="212">
        <v>1.49</v>
      </c>
      <c r="F336" s="212" t="s">
        <v>327</v>
      </c>
      <c r="G336" s="209"/>
      <c r="I336" s="209"/>
      <c r="J336" s="209"/>
      <c r="K336" s="209"/>
    </row>
    <row r="337" spans="1:11">
      <c r="A337" s="208"/>
      <c r="B337" s="209" t="s">
        <v>2660</v>
      </c>
      <c r="C337" s="211" t="s">
        <v>761</v>
      </c>
      <c r="D337" s="212">
        <v>9.66</v>
      </c>
      <c r="E337" s="212">
        <v>1.78</v>
      </c>
      <c r="F337" s="212" t="s">
        <v>3527</v>
      </c>
      <c r="G337" s="212"/>
      <c r="I337" s="209"/>
      <c r="J337" s="209"/>
      <c r="K337" s="209"/>
    </row>
    <row r="338" spans="1:11">
      <c r="A338" s="208"/>
      <c r="B338" s="209" t="s">
        <v>2660</v>
      </c>
      <c r="C338" s="211" t="s">
        <v>2944</v>
      </c>
      <c r="D338" s="212">
        <v>9.9499999999999993</v>
      </c>
      <c r="E338" s="212">
        <v>1.81</v>
      </c>
      <c r="F338" s="212" t="s">
        <v>306</v>
      </c>
      <c r="G338" s="209"/>
      <c r="H338" s="215"/>
      <c r="I338" s="209"/>
      <c r="J338" s="209"/>
      <c r="K338" s="209"/>
    </row>
    <row r="339" spans="1:11">
      <c r="A339" s="208"/>
      <c r="B339" s="209" t="s">
        <v>2660</v>
      </c>
      <c r="C339" s="211" t="s">
        <v>3073</v>
      </c>
      <c r="D339" s="212">
        <v>10.26</v>
      </c>
      <c r="E339" s="212">
        <v>1.52</v>
      </c>
      <c r="F339" s="212" t="s">
        <v>2353</v>
      </c>
      <c r="G339" s="212"/>
      <c r="I339" s="209"/>
      <c r="J339" s="209"/>
      <c r="K339" s="209"/>
    </row>
    <row r="340" spans="1:11">
      <c r="A340" s="208"/>
      <c r="B340" s="209" t="s">
        <v>2660</v>
      </c>
      <c r="C340" s="211" t="s">
        <v>3074</v>
      </c>
      <c r="D340" s="212">
        <v>10.26</v>
      </c>
      <c r="E340" s="212">
        <v>1.97</v>
      </c>
      <c r="F340" s="212" t="s">
        <v>2353</v>
      </c>
      <c r="G340" s="212"/>
      <c r="I340" s="209"/>
      <c r="J340" s="212"/>
      <c r="K340" s="212"/>
    </row>
    <row r="341" spans="1:11">
      <c r="A341" s="208"/>
      <c r="B341" s="209" t="s">
        <v>2660</v>
      </c>
      <c r="C341" s="211" t="s">
        <v>2945</v>
      </c>
      <c r="D341" s="212">
        <v>10.83</v>
      </c>
      <c r="E341" s="212">
        <v>2.12</v>
      </c>
      <c r="F341" s="212" t="s">
        <v>2357</v>
      </c>
      <c r="G341" s="209"/>
      <c r="H341" s="215"/>
      <c r="I341" s="212"/>
      <c r="J341" s="212"/>
      <c r="K341" s="212"/>
    </row>
    <row r="342" spans="1:11">
      <c r="A342" s="208"/>
      <c r="B342" s="209" t="s">
        <v>2660</v>
      </c>
      <c r="C342" s="211" t="s">
        <v>2946</v>
      </c>
      <c r="D342" s="212">
        <v>13.06</v>
      </c>
      <c r="E342" s="212">
        <v>2.39</v>
      </c>
      <c r="F342" s="212" t="s">
        <v>327</v>
      </c>
      <c r="G342" s="209"/>
      <c r="I342" s="212"/>
      <c r="J342" s="212"/>
      <c r="K342" s="212"/>
    </row>
    <row r="343" spans="1:11">
      <c r="A343" s="208"/>
      <c r="B343" s="209" t="s">
        <v>2660</v>
      </c>
      <c r="C343" s="211" t="s">
        <v>762</v>
      </c>
      <c r="D343" s="212">
        <v>10.26</v>
      </c>
      <c r="E343" s="212">
        <v>2.0099999999999998</v>
      </c>
      <c r="F343" s="212" t="s">
        <v>2353</v>
      </c>
      <c r="G343" s="209"/>
      <c r="H343" s="215"/>
      <c r="I343" s="212"/>
      <c r="J343" s="212"/>
      <c r="K343" s="212"/>
    </row>
    <row r="344" spans="1:11">
      <c r="A344" s="208"/>
      <c r="B344" s="209" t="s">
        <v>2662</v>
      </c>
      <c r="C344" s="211" t="s">
        <v>2949</v>
      </c>
      <c r="D344" s="212">
        <v>11.99</v>
      </c>
      <c r="E344" s="212">
        <v>2.58</v>
      </c>
      <c r="F344" s="212" t="s">
        <v>319</v>
      </c>
      <c r="G344" s="209"/>
      <c r="H344" s="215"/>
      <c r="I344" s="212"/>
      <c r="J344" s="209"/>
      <c r="K344" s="209"/>
    </row>
    <row r="345" spans="1:11">
      <c r="A345" s="208"/>
      <c r="B345" s="209" t="s">
        <v>2662</v>
      </c>
      <c r="C345" s="211" t="s">
        <v>2950</v>
      </c>
      <c r="D345" s="212">
        <v>15.22</v>
      </c>
      <c r="E345" s="212">
        <v>3.6</v>
      </c>
      <c r="F345" s="212" t="s">
        <v>321</v>
      </c>
      <c r="G345" s="209"/>
      <c r="I345" s="209"/>
      <c r="J345" s="209"/>
      <c r="K345" s="209"/>
    </row>
    <row r="346" spans="1:11">
      <c r="A346" s="208"/>
      <c r="B346" s="209" t="s">
        <v>2661</v>
      </c>
      <c r="C346" s="211" t="s">
        <v>2951</v>
      </c>
      <c r="D346" s="212">
        <v>10.65</v>
      </c>
      <c r="E346" s="212">
        <v>2.42</v>
      </c>
      <c r="F346" s="212" t="s">
        <v>3539</v>
      </c>
      <c r="G346" s="209"/>
      <c r="I346" s="209"/>
      <c r="J346" s="209"/>
      <c r="K346" s="209"/>
    </row>
    <row r="347" spans="1:11">
      <c r="A347" s="208"/>
      <c r="B347" s="209" t="s">
        <v>2661</v>
      </c>
      <c r="C347" s="211" t="s">
        <v>2952</v>
      </c>
      <c r="D347" s="212">
        <v>7.71</v>
      </c>
      <c r="E347" s="212">
        <v>1.8</v>
      </c>
      <c r="F347" s="212" t="s">
        <v>343</v>
      </c>
      <c r="G347" s="209"/>
      <c r="I347" s="209"/>
      <c r="J347" s="209"/>
      <c r="K347" s="209"/>
    </row>
    <row r="348" spans="1:11">
      <c r="A348" s="208"/>
      <c r="B348" s="209" t="s">
        <v>2661</v>
      </c>
      <c r="C348" s="211" t="s">
        <v>2953</v>
      </c>
      <c r="D348" s="212">
        <v>7.9</v>
      </c>
      <c r="E348" s="212">
        <v>1.86</v>
      </c>
      <c r="F348" s="212">
        <v>7</v>
      </c>
      <c r="G348" s="212"/>
      <c r="I348" s="209"/>
      <c r="J348" s="209"/>
      <c r="K348" s="209"/>
    </row>
    <row r="349" spans="1:11">
      <c r="A349" s="208"/>
      <c r="B349" s="209" t="s">
        <v>2661</v>
      </c>
      <c r="C349" s="211" t="s">
        <v>2954</v>
      </c>
      <c r="D349" s="212">
        <v>8.82</v>
      </c>
      <c r="E349" s="212">
        <v>1.98</v>
      </c>
      <c r="F349" s="212" t="s">
        <v>2347</v>
      </c>
      <c r="G349" s="212"/>
      <c r="I349" s="209"/>
      <c r="J349" s="209"/>
      <c r="K349" s="209"/>
    </row>
    <row r="350" spans="1:11">
      <c r="A350" s="208"/>
      <c r="B350" s="209" t="s">
        <v>2661</v>
      </c>
      <c r="C350" s="211" t="s">
        <v>2955</v>
      </c>
      <c r="D350" s="209" t="s">
        <v>2007</v>
      </c>
      <c r="E350" s="212">
        <v>1.98</v>
      </c>
      <c r="F350" s="209" t="s">
        <v>311</v>
      </c>
      <c r="G350" s="212"/>
      <c r="I350" s="209"/>
      <c r="J350" s="209"/>
      <c r="K350" s="209"/>
    </row>
    <row r="351" spans="1:11">
      <c r="A351" s="208"/>
      <c r="B351" s="209" t="s">
        <v>2661</v>
      </c>
      <c r="C351" s="211" t="s">
        <v>2956</v>
      </c>
      <c r="D351" s="212">
        <v>10</v>
      </c>
      <c r="E351" s="212">
        <v>2.2000000000000002</v>
      </c>
      <c r="F351" s="212" t="s">
        <v>310</v>
      </c>
      <c r="G351" s="212"/>
      <c r="H351" s="215"/>
      <c r="I351" s="209"/>
      <c r="J351" s="209"/>
      <c r="K351" s="209"/>
    </row>
    <row r="352" spans="1:11">
      <c r="A352" s="208"/>
      <c r="B352" s="209" t="s">
        <v>2661</v>
      </c>
      <c r="C352" s="211" t="s">
        <v>2957</v>
      </c>
      <c r="D352" s="212">
        <v>10.029999999999999</v>
      </c>
      <c r="E352" s="212">
        <v>2.23</v>
      </c>
      <c r="F352" s="209" t="s">
        <v>2348</v>
      </c>
      <c r="G352" s="209"/>
      <c r="H352" s="215"/>
      <c r="I352" s="209"/>
      <c r="J352" s="209"/>
      <c r="K352" s="209"/>
    </row>
    <row r="353" spans="1:11">
      <c r="A353" s="208"/>
      <c r="B353" s="209" t="s">
        <v>2664</v>
      </c>
      <c r="C353" s="211" t="s">
        <v>2963</v>
      </c>
      <c r="D353" s="212">
        <v>10.11</v>
      </c>
      <c r="E353" s="212">
        <v>1.95</v>
      </c>
      <c r="F353" s="212" t="s">
        <v>2370</v>
      </c>
      <c r="G353" s="209"/>
      <c r="H353" s="215"/>
      <c r="I353" s="209"/>
      <c r="J353" s="209"/>
      <c r="K353" s="209"/>
    </row>
    <row r="354" spans="1:11">
      <c r="A354" s="208"/>
      <c r="B354" s="209" t="s">
        <v>2664</v>
      </c>
      <c r="C354" s="211" t="s">
        <v>2964</v>
      </c>
      <c r="D354" s="212">
        <v>10.38</v>
      </c>
      <c r="E354" s="212">
        <v>1.86</v>
      </c>
      <c r="F354" s="212" t="s">
        <v>3508</v>
      </c>
      <c r="G354" s="209"/>
      <c r="H354" s="215"/>
      <c r="I354" s="209"/>
      <c r="J354" s="209"/>
      <c r="K354" s="209"/>
    </row>
    <row r="355" spans="1:11">
      <c r="A355" s="208"/>
      <c r="B355" s="209" t="s">
        <v>2665</v>
      </c>
      <c r="C355" s="211" t="s">
        <v>2965</v>
      </c>
      <c r="D355" s="212">
        <v>8.5</v>
      </c>
      <c r="E355" s="212">
        <v>1.35</v>
      </c>
      <c r="F355" s="212" t="s">
        <v>329</v>
      </c>
      <c r="G355" s="209"/>
      <c r="I355" s="209"/>
      <c r="J355" s="209"/>
      <c r="K355" s="209"/>
    </row>
    <row r="356" spans="1:11">
      <c r="A356" s="208"/>
      <c r="B356" s="209" t="s">
        <v>2665</v>
      </c>
      <c r="C356" s="211" t="s">
        <v>593</v>
      </c>
      <c r="D356" s="209" t="s">
        <v>2008</v>
      </c>
      <c r="E356" s="212">
        <v>1.64</v>
      </c>
      <c r="F356" s="212" t="s">
        <v>2343</v>
      </c>
      <c r="G356" s="209"/>
      <c r="I356" s="209"/>
      <c r="J356" s="209"/>
      <c r="K356" s="209"/>
    </row>
    <row r="357" spans="1:11">
      <c r="A357" s="208"/>
      <c r="B357" s="209" t="s">
        <v>2665</v>
      </c>
      <c r="C357" s="211" t="s">
        <v>592</v>
      </c>
      <c r="D357" s="209" t="s">
        <v>2008</v>
      </c>
      <c r="E357" s="212">
        <v>1.8</v>
      </c>
      <c r="F357" s="212" t="s">
        <v>2343</v>
      </c>
      <c r="G357" s="209"/>
      <c r="I357" s="209"/>
      <c r="J357" s="209"/>
      <c r="K357" s="209"/>
    </row>
    <row r="358" spans="1:11">
      <c r="A358" s="208"/>
      <c r="B358" s="209" t="s">
        <v>2665</v>
      </c>
      <c r="C358" s="211" t="s">
        <v>5295</v>
      </c>
      <c r="D358" s="209" t="s">
        <v>584</v>
      </c>
      <c r="E358" s="212" t="s">
        <v>5296</v>
      </c>
      <c r="F358" s="212" t="s">
        <v>5297</v>
      </c>
      <c r="G358" s="209"/>
      <c r="I358" s="209"/>
      <c r="J358" s="209"/>
      <c r="K358" s="209"/>
    </row>
    <row r="359" spans="1:11">
      <c r="A359" s="208"/>
      <c r="B359" s="209" t="s">
        <v>2665</v>
      </c>
      <c r="C359" s="211" t="s">
        <v>5607</v>
      </c>
      <c r="D359" s="209" t="s">
        <v>584</v>
      </c>
      <c r="E359" s="212" t="s">
        <v>5296</v>
      </c>
      <c r="F359" s="212" t="s">
        <v>5297</v>
      </c>
      <c r="G359" s="209"/>
      <c r="I359" s="209"/>
      <c r="J359" s="209"/>
      <c r="K359" s="209"/>
    </row>
    <row r="360" spans="1:11">
      <c r="A360" s="208"/>
      <c r="B360" s="209" t="s">
        <v>2665</v>
      </c>
      <c r="C360" s="211" t="s">
        <v>2966</v>
      </c>
      <c r="D360" s="209" t="s">
        <v>2009</v>
      </c>
      <c r="E360" s="212">
        <v>1.45</v>
      </c>
      <c r="F360" s="212" t="s">
        <v>326</v>
      </c>
      <c r="G360" s="209"/>
      <c r="I360" s="209"/>
      <c r="J360" s="209"/>
      <c r="K360" s="209"/>
    </row>
    <row r="361" spans="1:11">
      <c r="A361" s="208"/>
      <c r="B361" s="209" t="s">
        <v>2665</v>
      </c>
      <c r="C361" s="211" t="s">
        <v>2967</v>
      </c>
      <c r="D361" s="209" t="s">
        <v>2010</v>
      </c>
      <c r="E361" s="212">
        <v>1.52</v>
      </c>
      <c r="F361" s="212" t="s">
        <v>353</v>
      </c>
      <c r="G361" s="209"/>
      <c r="I361" s="209"/>
      <c r="J361" s="212"/>
      <c r="K361" s="212"/>
    </row>
    <row r="362" spans="1:11">
      <c r="A362" s="208"/>
      <c r="B362" s="209" t="s">
        <v>2665</v>
      </c>
      <c r="C362" s="211" t="s">
        <v>2968</v>
      </c>
      <c r="D362" s="212">
        <v>9.99</v>
      </c>
      <c r="E362" s="212">
        <v>1.76</v>
      </c>
      <c r="F362" s="212" t="s">
        <v>319</v>
      </c>
      <c r="G362" s="209"/>
      <c r="H362" s="215"/>
      <c r="I362" s="212"/>
      <c r="J362" s="209"/>
      <c r="K362" s="209"/>
    </row>
    <row r="363" spans="1:11">
      <c r="A363" s="208"/>
      <c r="B363" s="209" t="s">
        <v>2665</v>
      </c>
      <c r="C363" s="211" t="s">
        <v>2969</v>
      </c>
      <c r="D363" s="209" t="s">
        <v>2011</v>
      </c>
      <c r="E363" s="212">
        <v>1.76</v>
      </c>
      <c r="F363" s="212" t="s">
        <v>3508</v>
      </c>
      <c r="G363" s="209"/>
      <c r="I363" s="209"/>
      <c r="J363" s="209"/>
      <c r="K363" s="209"/>
    </row>
    <row r="364" spans="1:11">
      <c r="A364" s="208"/>
      <c r="B364" s="209" t="s">
        <v>2665</v>
      </c>
      <c r="C364" s="211" t="s">
        <v>2970</v>
      </c>
      <c r="D364" s="212">
        <v>10.210000000000001</v>
      </c>
      <c r="E364" s="212">
        <v>1.9</v>
      </c>
      <c r="F364" s="212" t="s">
        <v>2359</v>
      </c>
      <c r="G364" s="209"/>
      <c r="I364" s="209"/>
      <c r="J364" s="209"/>
      <c r="K364" s="209"/>
    </row>
    <row r="365" spans="1:11">
      <c r="A365" s="208"/>
      <c r="B365" s="209" t="s">
        <v>2665</v>
      </c>
      <c r="C365" s="211" t="s">
        <v>2971</v>
      </c>
      <c r="D365" s="212">
        <v>10.51</v>
      </c>
      <c r="E365" s="212">
        <v>1.95</v>
      </c>
      <c r="F365" s="209" t="s">
        <v>2362</v>
      </c>
      <c r="G365" s="209"/>
      <c r="I365" s="209"/>
      <c r="J365" s="209"/>
      <c r="K365" s="209"/>
    </row>
    <row r="366" spans="1:11">
      <c r="A366" s="208"/>
      <c r="B366" s="209" t="s">
        <v>2665</v>
      </c>
      <c r="C366" s="211" t="s">
        <v>2972</v>
      </c>
      <c r="D366" s="212">
        <v>10.5</v>
      </c>
      <c r="E366" s="212">
        <v>1.9</v>
      </c>
      <c r="F366" s="212" t="s">
        <v>353</v>
      </c>
      <c r="G366" s="209"/>
      <c r="I366" s="209"/>
      <c r="J366" s="212"/>
      <c r="K366" s="212"/>
    </row>
    <row r="367" spans="1:11">
      <c r="A367" s="208"/>
      <c r="B367" s="209" t="s">
        <v>2665</v>
      </c>
      <c r="C367" s="211" t="s">
        <v>2973</v>
      </c>
      <c r="D367" s="212">
        <v>10.95</v>
      </c>
      <c r="E367" s="212">
        <v>1.95</v>
      </c>
      <c r="F367" s="212" t="s">
        <v>343</v>
      </c>
      <c r="G367" s="209"/>
      <c r="I367" s="212"/>
      <c r="J367" s="212"/>
      <c r="K367" s="212"/>
    </row>
    <row r="368" spans="1:11">
      <c r="A368" s="208"/>
      <c r="B368" s="209" t="s">
        <v>2665</v>
      </c>
      <c r="C368" s="211" t="s">
        <v>2974</v>
      </c>
      <c r="D368" s="212">
        <v>10.8</v>
      </c>
      <c r="E368" s="212">
        <v>1.83</v>
      </c>
      <c r="F368" s="212" t="s">
        <v>329</v>
      </c>
      <c r="G368" s="209"/>
      <c r="I368" s="212"/>
      <c r="J368" s="212"/>
      <c r="K368" s="212"/>
    </row>
    <row r="369" spans="1:11">
      <c r="A369" s="208"/>
      <c r="B369" s="209" t="s">
        <v>2665</v>
      </c>
      <c r="C369" s="211" t="s">
        <v>2975</v>
      </c>
      <c r="D369" s="209" t="s">
        <v>2012</v>
      </c>
      <c r="E369" s="212">
        <v>1.99</v>
      </c>
      <c r="F369" s="212" t="s">
        <v>2377</v>
      </c>
      <c r="G369" s="209"/>
      <c r="I369" s="212"/>
      <c r="J369" s="209"/>
      <c r="K369" s="209"/>
    </row>
    <row r="370" spans="1:11">
      <c r="A370" s="208"/>
      <c r="B370" s="209" t="s">
        <v>2665</v>
      </c>
      <c r="C370" s="211" t="s">
        <v>2976</v>
      </c>
      <c r="D370" s="209" t="s">
        <v>2012</v>
      </c>
      <c r="E370" s="212">
        <v>2.04</v>
      </c>
      <c r="F370" s="212" t="s">
        <v>2377</v>
      </c>
      <c r="G370" s="212"/>
      <c r="I370" s="209"/>
      <c r="J370" s="209"/>
      <c r="K370" s="209"/>
    </row>
    <row r="371" spans="1:11">
      <c r="A371" s="208"/>
      <c r="B371" s="209" t="s">
        <v>2665</v>
      </c>
      <c r="C371" s="211" t="s">
        <v>2977</v>
      </c>
      <c r="D371" s="212">
        <v>10.95</v>
      </c>
      <c r="E371" s="212">
        <v>1.95</v>
      </c>
      <c r="F371" s="212" t="s">
        <v>343</v>
      </c>
      <c r="G371" s="209"/>
      <c r="I371" s="209"/>
      <c r="J371" s="209"/>
      <c r="K371" s="209"/>
    </row>
    <row r="372" spans="1:11">
      <c r="A372" s="208"/>
      <c r="B372" s="209" t="s">
        <v>2665</v>
      </c>
      <c r="C372" s="211" t="s">
        <v>2978</v>
      </c>
      <c r="D372" s="212">
        <v>11.01</v>
      </c>
      <c r="E372" s="212">
        <v>1.86</v>
      </c>
      <c r="F372" s="212" t="s">
        <v>2340</v>
      </c>
      <c r="G372" s="209"/>
      <c r="H372" s="215"/>
      <c r="I372" s="209"/>
      <c r="J372" s="209"/>
      <c r="K372" s="209"/>
    </row>
    <row r="373" spans="1:11">
      <c r="A373" s="208"/>
      <c r="B373" s="209" t="s">
        <v>2665</v>
      </c>
      <c r="C373" s="211" t="s">
        <v>2979</v>
      </c>
      <c r="D373" s="212">
        <v>11.01</v>
      </c>
      <c r="E373" s="212">
        <v>1.81</v>
      </c>
      <c r="F373" s="212" t="s">
        <v>2340</v>
      </c>
      <c r="G373" s="209"/>
      <c r="I373" s="209"/>
      <c r="J373" s="209"/>
      <c r="K373" s="209"/>
    </row>
    <row r="374" spans="1:11">
      <c r="A374" s="208"/>
      <c r="B374" s="209" t="s">
        <v>2665</v>
      </c>
      <c r="C374" s="211" t="s">
        <v>594</v>
      </c>
      <c r="D374" s="212">
        <v>11.41</v>
      </c>
      <c r="E374" s="212">
        <v>2.0699999999999998</v>
      </c>
      <c r="F374" s="212" t="s">
        <v>2980</v>
      </c>
      <c r="G374" s="209"/>
      <c r="I374" s="209"/>
      <c r="J374" s="209"/>
      <c r="K374" s="209"/>
    </row>
    <row r="375" spans="1:11">
      <c r="A375" s="208"/>
      <c r="B375" s="209" t="s">
        <v>2665</v>
      </c>
      <c r="C375" s="211" t="s">
        <v>595</v>
      </c>
      <c r="D375" s="212">
        <v>11.41</v>
      </c>
      <c r="E375" s="212">
        <v>1.9</v>
      </c>
      <c r="F375" s="209" t="s">
        <v>2980</v>
      </c>
      <c r="G375" s="212"/>
      <c r="I375" s="209"/>
      <c r="J375" s="209"/>
      <c r="K375" s="209"/>
    </row>
    <row r="376" spans="1:11">
      <c r="A376" s="208"/>
      <c r="B376" s="209" t="s">
        <v>2665</v>
      </c>
      <c r="C376" s="211" t="s">
        <v>576</v>
      </c>
      <c r="D376" s="209" t="s">
        <v>577</v>
      </c>
      <c r="E376" s="209" t="s">
        <v>405</v>
      </c>
      <c r="F376" s="209" t="s">
        <v>5299</v>
      </c>
      <c r="G376" s="212"/>
      <c r="I376" s="209"/>
      <c r="J376" s="209"/>
      <c r="K376" s="209"/>
    </row>
    <row r="377" spans="1:11">
      <c r="A377" s="208"/>
      <c r="B377" s="209" t="s">
        <v>2665</v>
      </c>
      <c r="C377" s="211" t="s">
        <v>5627</v>
      </c>
      <c r="D377" s="209" t="s">
        <v>577</v>
      </c>
      <c r="E377" s="209" t="s">
        <v>5628</v>
      </c>
      <c r="F377" s="209" t="s">
        <v>5299</v>
      </c>
      <c r="G377" s="212"/>
      <c r="H377" s="215"/>
      <c r="I377" s="209"/>
      <c r="J377" s="209"/>
      <c r="K377" s="209"/>
    </row>
    <row r="378" spans="1:11">
      <c r="A378" s="208"/>
      <c r="B378" s="209" t="s">
        <v>2665</v>
      </c>
      <c r="C378" s="211" t="s">
        <v>596</v>
      </c>
      <c r="D378" s="209" t="s">
        <v>2013</v>
      </c>
      <c r="E378" s="212">
        <v>1.98</v>
      </c>
      <c r="F378" s="212" t="s">
        <v>341</v>
      </c>
      <c r="G378" s="209"/>
      <c r="H378" s="215"/>
      <c r="I378" s="209"/>
      <c r="J378" s="212"/>
      <c r="K378" s="212"/>
    </row>
    <row r="379" spans="1:11">
      <c r="A379" s="208"/>
      <c r="B379" s="209" t="s">
        <v>2665</v>
      </c>
      <c r="C379" s="211" t="s">
        <v>597</v>
      </c>
      <c r="D379" s="209" t="s">
        <v>2013</v>
      </c>
      <c r="E379" s="212">
        <v>2.36</v>
      </c>
      <c r="F379" s="212" t="s">
        <v>341</v>
      </c>
      <c r="G379" s="209"/>
      <c r="H379" s="215"/>
      <c r="I379" s="212"/>
      <c r="J379" s="212"/>
      <c r="K379" s="212"/>
    </row>
    <row r="380" spans="1:11">
      <c r="A380" s="208"/>
      <c r="B380" s="209" t="s">
        <v>2665</v>
      </c>
      <c r="C380" s="211" t="s">
        <v>2981</v>
      </c>
      <c r="D380" s="212">
        <v>11.78</v>
      </c>
      <c r="E380" s="212">
        <v>1.93</v>
      </c>
      <c r="F380" s="212" t="s">
        <v>324</v>
      </c>
      <c r="G380" s="209"/>
      <c r="I380" s="212"/>
      <c r="J380" s="212"/>
      <c r="K380" s="212"/>
    </row>
    <row r="381" spans="1:11">
      <c r="A381" s="208"/>
      <c r="B381" s="209" t="s">
        <v>2665</v>
      </c>
      <c r="C381" s="211" t="s">
        <v>598</v>
      </c>
      <c r="D381" s="209" t="s">
        <v>1983</v>
      </c>
      <c r="E381" s="212">
        <v>1.98</v>
      </c>
      <c r="F381" s="212" t="s">
        <v>341</v>
      </c>
      <c r="G381" s="209"/>
      <c r="I381" s="212"/>
      <c r="J381" s="209"/>
      <c r="K381" s="209"/>
    </row>
    <row r="382" spans="1:11">
      <c r="A382" s="208"/>
      <c r="B382" s="209" t="s">
        <v>2665</v>
      </c>
      <c r="C382" s="211" t="s">
        <v>599</v>
      </c>
      <c r="D382" s="209" t="s">
        <v>1983</v>
      </c>
      <c r="E382" s="212">
        <v>2.35</v>
      </c>
      <c r="F382" s="212" t="s">
        <v>341</v>
      </c>
      <c r="G382" s="209"/>
      <c r="I382" s="209"/>
      <c r="J382" s="209"/>
      <c r="K382" s="209"/>
    </row>
    <row r="383" spans="1:11">
      <c r="A383" s="208"/>
      <c r="B383" s="209" t="s">
        <v>2665</v>
      </c>
      <c r="C383" s="211" t="s">
        <v>600</v>
      </c>
      <c r="D383" s="209" t="s">
        <v>2014</v>
      </c>
      <c r="E383" s="212">
        <v>1.95</v>
      </c>
      <c r="F383" s="212" t="s">
        <v>2339</v>
      </c>
      <c r="G383" s="209"/>
      <c r="I383" s="209"/>
      <c r="J383" s="209"/>
      <c r="K383" s="209"/>
    </row>
    <row r="384" spans="1:11">
      <c r="A384" s="208"/>
      <c r="B384" s="209" t="s">
        <v>2665</v>
      </c>
      <c r="C384" s="211" t="s">
        <v>601</v>
      </c>
      <c r="D384" s="209" t="s">
        <v>2015</v>
      </c>
      <c r="E384" s="212">
        <v>2.0299999999999998</v>
      </c>
      <c r="F384" s="212" t="s">
        <v>2339</v>
      </c>
      <c r="G384" s="209"/>
      <c r="I384" s="209"/>
      <c r="J384" s="209"/>
      <c r="K384" s="209"/>
    </row>
    <row r="385" spans="1:11">
      <c r="A385" s="208"/>
      <c r="B385" s="209" t="s">
        <v>2665</v>
      </c>
      <c r="C385" s="211" t="s">
        <v>602</v>
      </c>
      <c r="D385" s="209" t="s">
        <v>1989</v>
      </c>
      <c r="E385" s="212">
        <v>2.4</v>
      </c>
      <c r="F385" s="209" t="s">
        <v>316</v>
      </c>
      <c r="G385" s="209"/>
      <c r="I385" s="209"/>
      <c r="J385" s="209"/>
      <c r="K385" s="209"/>
    </row>
    <row r="386" spans="1:11">
      <c r="A386" s="208"/>
      <c r="B386" s="209" t="s">
        <v>2665</v>
      </c>
      <c r="C386" s="211" t="s">
        <v>2982</v>
      </c>
      <c r="D386" s="212">
        <v>13.2</v>
      </c>
      <c r="E386" s="212">
        <v>2.0099999999999998</v>
      </c>
      <c r="F386" s="212" t="s">
        <v>308</v>
      </c>
      <c r="G386" s="209"/>
      <c r="I386" s="209"/>
      <c r="J386" s="212"/>
      <c r="K386" s="212"/>
    </row>
    <row r="387" spans="1:11">
      <c r="A387" s="208"/>
      <c r="B387" s="209" t="s">
        <v>2665</v>
      </c>
      <c r="C387" s="211" t="s">
        <v>603</v>
      </c>
      <c r="D387" s="209" t="s">
        <v>2016</v>
      </c>
      <c r="E387" s="212">
        <v>2.2000000000000002</v>
      </c>
      <c r="F387" s="209" t="s">
        <v>2362</v>
      </c>
      <c r="G387" s="212"/>
      <c r="I387" s="212"/>
      <c r="J387" s="212"/>
      <c r="K387" s="212"/>
    </row>
    <row r="388" spans="1:11">
      <c r="A388" s="208"/>
      <c r="B388" s="209" t="s">
        <v>2665</v>
      </c>
      <c r="C388" s="211" t="s">
        <v>2983</v>
      </c>
      <c r="D388" s="212">
        <v>14.28</v>
      </c>
      <c r="E388" s="212">
        <v>2.4</v>
      </c>
      <c r="F388" s="212" t="s">
        <v>321</v>
      </c>
      <c r="G388" s="212"/>
      <c r="I388" s="212"/>
      <c r="J388" s="209"/>
      <c r="K388" s="209"/>
    </row>
    <row r="389" spans="1:11">
      <c r="A389" s="208"/>
      <c r="B389" s="209" t="s">
        <v>2666</v>
      </c>
      <c r="C389" s="211" t="s">
        <v>2990</v>
      </c>
      <c r="D389" s="212">
        <v>8.2200000000000006</v>
      </c>
      <c r="E389" s="212">
        <v>1.42</v>
      </c>
      <c r="F389" s="212" t="s">
        <v>2353</v>
      </c>
      <c r="G389" s="212"/>
      <c r="H389" s="215"/>
      <c r="I389" s="209"/>
      <c r="J389" s="212"/>
      <c r="K389" s="212"/>
    </row>
    <row r="390" spans="1:11">
      <c r="A390" s="208"/>
      <c r="B390" s="209" t="s">
        <v>2666</v>
      </c>
      <c r="C390" s="211" t="s">
        <v>2991</v>
      </c>
      <c r="D390" s="212">
        <v>9.01</v>
      </c>
      <c r="E390" s="212">
        <v>1.55</v>
      </c>
      <c r="F390" s="212" t="s">
        <v>2343</v>
      </c>
      <c r="G390" s="209"/>
      <c r="H390" s="215"/>
      <c r="I390" s="212"/>
      <c r="J390" s="212"/>
      <c r="K390" s="212"/>
    </row>
    <row r="391" spans="1:11">
      <c r="A391" s="208"/>
      <c r="B391" s="209" t="s">
        <v>2666</v>
      </c>
      <c r="C391" s="211" t="s">
        <v>2992</v>
      </c>
      <c r="D391" s="212">
        <v>9.64</v>
      </c>
      <c r="E391" s="212">
        <v>1.7</v>
      </c>
      <c r="F391" s="212" t="s">
        <v>2343</v>
      </c>
      <c r="G391" s="209"/>
      <c r="H391" s="215"/>
      <c r="I391" s="212"/>
      <c r="J391" s="212"/>
      <c r="K391" s="212"/>
    </row>
    <row r="392" spans="1:11">
      <c r="A392" s="208"/>
      <c r="B392" s="209" t="s">
        <v>2666</v>
      </c>
      <c r="C392" s="211" t="s">
        <v>2993</v>
      </c>
      <c r="D392" s="212">
        <v>9.85</v>
      </c>
      <c r="E392" s="212">
        <v>1.55</v>
      </c>
      <c r="F392" s="209" t="s">
        <v>2347</v>
      </c>
      <c r="G392" s="209"/>
      <c r="I392" s="212"/>
      <c r="J392" s="212"/>
      <c r="K392" s="212"/>
    </row>
    <row r="393" spans="1:11">
      <c r="A393" s="208"/>
      <c r="B393" s="209" t="s">
        <v>2666</v>
      </c>
      <c r="C393" s="211" t="s">
        <v>2994</v>
      </c>
      <c r="D393" s="212">
        <v>10</v>
      </c>
      <c r="E393" s="212">
        <v>1.95</v>
      </c>
      <c r="F393" s="209" t="s">
        <v>2348</v>
      </c>
      <c r="G393" s="209"/>
      <c r="I393" s="212"/>
      <c r="J393" s="212"/>
      <c r="K393" s="212"/>
    </row>
    <row r="394" spans="1:11">
      <c r="A394" s="208"/>
      <c r="B394" s="209" t="s">
        <v>2666</v>
      </c>
      <c r="C394" s="211" t="s">
        <v>2995</v>
      </c>
      <c r="D394" s="209" t="s">
        <v>2017</v>
      </c>
      <c r="E394" s="212">
        <v>1.92</v>
      </c>
      <c r="F394" s="212" t="s">
        <v>310</v>
      </c>
      <c r="G394" s="209"/>
      <c r="I394" s="212"/>
      <c r="J394" s="212"/>
      <c r="K394" s="212"/>
    </row>
    <row r="395" spans="1:11">
      <c r="A395" s="208"/>
      <c r="B395" s="209" t="s">
        <v>2666</v>
      </c>
      <c r="C395" s="211" t="s">
        <v>2996</v>
      </c>
      <c r="D395" s="209" t="s">
        <v>2017</v>
      </c>
      <c r="E395" s="212">
        <v>1.92</v>
      </c>
      <c r="F395" s="212" t="s">
        <v>310</v>
      </c>
      <c r="G395" s="212"/>
      <c r="I395" s="212"/>
      <c r="J395" s="212"/>
      <c r="K395" s="212"/>
    </row>
    <row r="396" spans="1:11">
      <c r="A396" s="208"/>
      <c r="B396" s="209" t="s">
        <v>2666</v>
      </c>
      <c r="C396" s="211" t="s">
        <v>496</v>
      </c>
      <c r="D396" s="209" t="s">
        <v>2017</v>
      </c>
      <c r="E396" s="209" t="s">
        <v>406</v>
      </c>
      <c r="F396" s="209" t="s">
        <v>310</v>
      </c>
      <c r="G396" s="212"/>
      <c r="I396" s="212"/>
      <c r="J396" s="212"/>
      <c r="K396" s="212"/>
    </row>
    <row r="397" spans="1:11">
      <c r="A397" s="208"/>
      <c r="B397" s="209" t="s">
        <v>2666</v>
      </c>
      <c r="C397" s="211" t="s">
        <v>5619</v>
      </c>
      <c r="D397" s="212">
        <v>10.35</v>
      </c>
      <c r="E397" s="212">
        <v>1.8</v>
      </c>
      <c r="F397" s="212" t="s">
        <v>319</v>
      </c>
      <c r="G397" s="212"/>
      <c r="H397" s="215"/>
      <c r="I397" s="212"/>
      <c r="J397" s="209"/>
      <c r="K397" s="209"/>
    </row>
    <row r="398" spans="1:11">
      <c r="A398" s="208"/>
      <c r="B398" s="209" t="s">
        <v>2666</v>
      </c>
      <c r="C398" s="211" t="s">
        <v>2999</v>
      </c>
      <c r="D398" s="212">
        <v>10.99</v>
      </c>
      <c r="E398" s="212">
        <v>2.2000000000000002</v>
      </c>
      <c r="F398" s="209" t="s">
        <v>3000</v>
      </c>
      <c r="G398" s="212"/>
      <c r="H398" s="215"/>
      <c r="I398" s="209"/>
      <c r="J398" s="209"/>
      <c r="K398" s="209"/>
    </row>
    <row r="399" spans="1:11">
      <c r="A399" s="208"/>
      <c r="B399" s="209" t="s">
        <v>2666</v>
      </c>
      <c r="C399" s="211" t="s">
        <v>2998</v>
      </c>
      <c r="D399" s="212">
        <v>10.81</v>
      </c>
      <c r="E399" s="212">
        <v>1.8</v>
      </c>
      <c r="F399" s="212" t="s">
        <v>341</v>
      </c>
      <c r="G399" s="212"/>
      <c r="I399" s="209"/>
      <c r="J399" s="209"/>
      <c r="K399" s="209"/>
    </row>
    <row r="400" spans="1:11">
      <c r="A400" s="208"/>
      <c r="B400" s="209" t="s">
        <v>2666</v>
      </c>
      <c r="C400" s="211" t="s">
        <v>3001</v>
      </c>
      <c r="D400" s="212">
        <v>10.53</v>
      </c>
      <c r="E400" s="212">
        <v>1.7</v>
      </c>
      <c r="F400" s="209" t="s">
        <v>321</v>
      </c>
      <c r="G400" s="209"/>
      <c r="H400" s="215"/>
      <c r="I400" s="209"/>
      <c r="J400" s="209"/>
      <c r="K400" s="209"/>
    </row>
    <row r="401" spans="1:11">
      <c r="A401" s="208"/>
      <c r="B401" s="209" t="s">
        <v>2666</v>
      </c>
      <c r="C401" s="211" t="s">
        <v>3002</v>
      </c>
      <c r="D401" s="212">
        <v>10.53</v>
      </c>
      <c r="E401" s="212">
        <v>1.9</v>
      </c>
      <c r="F401" s="209" t="s">
        <v>321</v>
      </c>
      <c r="G401" s="212"/>
      <c r="H401" s="215"/>
      <c r="I401" s="209"/>
      <c r="J401" s="212"/>
      <c r="K401" s="212"/>
    </row>
    <row r="402" spans="1:11">
      <c r="A402" s="208"/>
      <c r="B402" s="209" t="s">
        <v>2666</v>
      </c>
      <c r="C402" s="211" t="s">
        <v>3003</v>
      </c>
      <c r="D402" s="209" t="s">
        <v>2018</v>
      </c>
      <c r="E402" s="212">
        <v>1.9</v>
      </c>
      <c r="F402" s="212" t="s">
        <v>2344</v>
      </c>
      <c r="G402" s="212"/>
      <c r="H402" s="215"/>
      <c r="I402" s="212"/>
      <c r="J402" s="212"/>
      <c r="K402" s="212"/>
    </row>
    <row r="403" spans="1:11">
      <c r="A403" s="208"/>
      <c r="B403" s="209" t="s">
        <v>2666</v>
      </c>
      <c r="C403" s="211" t="s">
        <v>3004</v>
      </c>
      <c r="D403" s="209" t="s">
        <v>2019</v>
      </c>
      <c r="E403" s="212">
        <v>1.7</v>
      </c>
      <c r="F403" s="212" t="s">
        <v>326</v>
      </c>
      <c r="G403" s="212"/>
      <c r="H403" s="215"/>
      <c r="I403" s="212"/>
      <c r="J403" s="209"/>
      <c r="K403" s="209"/>
    </row>
    <row r="404" spans="1:11">
      <c r="A404" s="208"/>
      <c r="B404" s="209" t="s">
        <v>2666</v>
      </c>
      <c r="C404" s="211" t="s">
        <v>604</v>
      </c>
      <c r="D404" s="212">
        <v>11.36</v>
      </c>
      <c r="E404" s="212">
        <v>1.76</v>
      </c>
      <c r="F404" s="212" t="s">
        <v>321</v>
      </c>
      <c r="G404" s="212"/>
      <c r="H404" s="215"/>
      <c r="I404" s="209"/>
      <c r="J404" s="209"/>
      <c r="K404" s="209"/>
    </row>
    <row r="405" spans="1:11">
      <c r="A405" s="208"/>
      <c r="B405" s="209" t="s">
        <v>2666</v>
      </c>
      <c r="C405" s="211" t="s">
        <v>605</v>
      </c>
      <c r="D405" s="212">
        <v>11.36</v>
      </c>
      <c r="E405" s="212">
        <v>1.95</v>
      </c>
      <c r="F405" s="209" t="s">
        <v>321</v>
      </c>
      <c r="G405" s="212"/>
      <c r="H405" s="215"/>
      <c r="I405" s="209"/>
      <c r="J405" s="209"/>
      <c r="K405" s="209"/>
    </row>
    <row r="406" spans="1:11">
      <c r="A406" s="208"/>
      <c r="B406" s="209" t="s">
        <v>2666</v>
      </c>
      <c r="C406" s="211" t="s">
        <v>3005</v>
      </c>
      <c r="D406" s="212">
        <v>11.6</v>
      </c>
      <c r="E406" s="212">
        <v>2</v>
      </c>
      <c r="F406" s="212" t="s">
        <v>2980</v>
      </c>
      <c r="G406" s="212"/>
      <c r="H406" s="215"/>
      <c r="I406" s="209"/>
      <c r="J406" s="209"/>
      <c r="K406" s="209"/>
    </row>
    <row r="407" spans="1:11">
      <c r="A407" s="208"/>
      <c r="B407" s="209" t="s">
        <v>2666</v>
      </c>
      <c r="C407" s="211" t="s">
        <v>5608</v>
      </c>
      <c r="D407" s="212" t="s">
        <v>5609</v>
      </c>
      <c r="E407" s="212" t="s">
        <v>1998</v>
      </c>
      <c r="F407" s="212" t="s">
        <v>5297</v>
      </c>
      <c r="G407" s="212"/>
      <c r="H407" s="215"/>
      <c r="I407" s="209"/>
      <c r="J407" s="209"/>
      <c r="K407" s="209"/>
    </row>
    <row r="408" spans="1:11">
      <c r="A408" s="208"/>
      <c r="B408" s="209" t="s">
        <v>2666</v>
      </c>
      <c r="C408" s="211" t="s">
        <v>606</v>
      </c>
      <c r="D408" s="212">
        <v>12.07</v>
      </c>
      <c r="E408" s="212">
        <v>1.6</v>
      </c>
      <c r="F408" s="212" t="s">
        <v>310</v>
      </c>
      <c r="G408" s="212"/>
      <c r="I408" s="209"/>
      <c r="J408" s="209"/>
      <c r="K408" s="209"/>
    </row>
    <row r="409" spans="1:11">
      <c r="A409" s="208"/>
      <c r="B409" s="209" t="s">
        <v>2666</v>
      </c>
      <c r="C409" s="211" t="s">
        <v>607</v>
      </c>
      <c r="D409" s="209" t="s">
        <v>2020</v>
      </c>
      <c r="E409" s="212">
        <v>2.1</v>
      </c>
      <c r="F409" s="212" t="s">
        <v>310</v>
      </c>
      <c r="G409" s="212"/>
      <c r="I409" s="209"/>
      <c r="J409" s="209"/>
      <c r="K409" s="209"/>
    </row>
    <row r="410" spans="1:11">
      <c r="A410" s="208"/>
      <c r="B410" s="209" t="s">
        <v>2666</v>
      </c>
      <c r="C410" s="211" t="s">
        <v>3006</v>
      </c>
      <c r="D410" s="212">
        <v>11.99</v>
      </c>
      <c r="E410" s="212">
        <v>2.1</v>
      </c>
      <c r="F410" s="209" t="s">
        <v>2346</v>
      </c>
      <c r="G410" s="209"/>
      <c r="I410" s="209"/>
      <c r="J410" s="209"/>
      <c r="K410" s="209"/>
    </row>
    <row r="411" spans="1:11">
      <c r="A411" s="208"/>
      <c r="B411" s="209" t="s">
        <v>2666</v>
      </c>
      <c r="C411" s="211" t="s">
        <v>3007</v>
      </c>
      <c r="D411" s="212">
        <v>11.9</v>
      </c>
      <c r="E411" s="212">
        <v>2.0299999999999998</v>
      </c>
      <c r="F411" s="209" t="s">
        <v>2346</v>
      </c>
      <c r="G411" s="209"/>
      <c r="I411" s="209"/>
      <c r="J411" s="209"/>
      <c r="K411" s="209"/>
    </row>
    <row r="412" spans="1:11">
      <c r="A412" s="208"/>
      <c r="B412" s="209" t="s">
        <v>2666</v>
      </c>
      <c r="C412" s="211" t="s">
        <v>3008</v>
      </c>
      <c r="D412" s="212">
        <v>11.95</v>
      </c>
      <c r="E412" s="212">
        <v>2</v>
      </c>
      <c r="F412" s="212" t="s">
        <v>2343</v>
      </c>
      <c r="G412" s="209"/>
      <c r="H412" s="215"/>
      <c r="I412" s="209"/>
      <c r="J412" s="209"/>
      <c r="K412" s="209"/>
    </row>
    <row r="413" spans="1:11">
      <c r="A413" s="208"/>
      <c r="B413" s="209" t="s">
        <v>2666</v>
      </c>
      <c r="C413" s="211" t="s">
        <v>578</v>
      </c>
      <c r="D413" s="209" t="s">
        <v>1972</v>
      </c>
      <c r="E413" s="209" t="s">
        <v>407</v>
      </c>
      <c r="F413" s="209" t="s">
        <v>1113</v>
      </c>
      <c r="G413" s="209"/>
      <c r="H413" s="215"/>
      <c r="I413" s="209"/>
      <c r="J413" s="212"/>
      <c r="K413" s="212"/>
    </row>
    <row r="414" spans="1:11">
      <c r="A414" s="208"/>
      <c r="B414" s="209" t="s">
        <v>2666</v>
      </c>
      <c r="C414" s="211" t="s">
        <v>5298</v>
      </c>
      <c r="D414" s="209" t="s">
        <v>1972</v>
      </c>
      <c r="E414" s="209" t="s">
        <v>421</v>
      </c>
      <c r="F414" s="209" t="s">
        <v>5299</v>
      </c>
      <c r="G414" s="212"/>
      <c r="I414" s="212"/>
      <c r="J414" s="212"/>
      <c r="K414" s="212"/>
    </row>
    <row r="415" spans="1:11">
      <c r="A415" s="208"/>
      <c r="B415" s="209" t="s">
        <v>2666</v>
      </c>
      <c r="C415" s="211" t="s">
        <v>5300</v>
      </c>
      <c r="D415" s="209" t="s">
        <v>1972</v>
      </c>
      <c r="E415" s="209" t="s">
        <v>407</v>
      </c>
      <c r="F415" s="209" t="s">
        <v>5299</v>
      </c>
      <c r="G415" s="212"/>
      <c r="I415" s="212"/>
      <c r="J415" s="212"/>
      <c r="K415" s="212"/>
    </row>
    <row r="416" spans="1:11">
      <c r="A416" s="208"/>
      <c r="B416" s="209" t="s">
        <v>2666</v>
      </c>
      <c r="C416" s="211" t="s">
        <v>3009</v>
      </c>
      <c r="D416" s="212">
        <v>12.6</v>
      </c>
      <c r="E416" s="212">
        <v>1.7</v>
      </c>
      <c r="F416" s="209" t="s">
        <v>2348</v>
      </c>
      <c r="G416" s="209"/>
      <c r="I416" s="212"/>
      <c r="J416" s="212"/>
      <c r="K416" s="212"/>
    </row>
    <row r="417" spans="1:11">
      <c r="A417" s="208"/>
      <c r="B417" s="209" t="s">
        <v>2666</v>
      </c>
      <c r="C417" s="211" t="s">
        <v>3010</v>
      </c>
      <c r="D417" s="212">
        <v>12.6</v>
      </c>
      <c r="E417" s="212">
        <v>2.1</v>
      </c>
      <c r="F417" s="209" t="s">
        <v>2348</v>
      </c>
      <c r="G417" s="209"/>
      <c r="I417" s="212"/>
      <c r="J417" s="212"/>
      <c r="K417" s="212"/>
    </row>
    <row r="418" spans="1:11">
      <c r="A418" s="208"/>
      <c r="B418" s="209" t="s">
        <v>2666</v>
      </c>
      <c r="C418" s="211" t="s">
        <v>3011</v>
      </c>
      <c r="D418" s="209" t="s">
        <v>2021</v>
      </c>
      <c r="E418" s="212">
        <v>2</v>
      </c>
      <c r="F418" s="212" t="s">
        <v>2344</v>
      </c>
      <c r="G418" s="209"/>
      <c r="I418" s="212"/>
      <c r="J418" s="212"/>
      <c r="K418" s="212"/>
    </row>
    <row r="419" spans="1:11">
      <c r="A419" s="208"/>
      <c r="B419" s="209" t="s">
        <v>2666</v>
      </c>
      <c r="C419" s="211" t="s">
        <v>609</v>
      </c>
      <c r="D419" s="212">
        <v>13.35</v>
      </c>
      <c r="E419" s="212">
        <v>1.76</v>
      </c>
      <c r="F419" s="212" t="s">
        <v>310</v>
      </c>
      <c r="G419" s="209"/>
      <c r="I419" s="212"/>
      <c r="J419" s="212"/>
      <c r="K419" s="212"/>
    </row>
    <row r="420" spans="1:11">
      <c r="A420" s="208"/>
      <c r="B420" s="209" t="s">
        <v>2666</v>
      </c>
      <c r="C420" s="211" t="s">
        <v>608</v>
      </c>
      <c r="D420" s="212">
        <v>13.35</v>
      </c>
      <c r="E420" s="212">
        <v>2.2999999999999998</v>
      </c>
      <c r="F420" s="212" t="s">
        <v>310</v>
      </c>
      <c r="G420" s="209"/>
      <c r="I420" s="212"/>
      <c r="J420" s="212"/>
      <c r="K420" s="212"/>
    </row>
    <row r="421" spans="1:11">
      <c r="A421" s="208"/>
      <c r="B421" s="209" t="s">
        <v>2666</v>
      </c>
      <c r="C421" s="211" t="s">
        <v>1099</v>
      </c>
      <c r="D421" s="209" t="s">
        <v>503</v>
      </c>
      <c r="E421" s="212">
        <v>2.2000000000000002</v>
      </c>
      <c r="F421" s="209" t="s">
        <v>316</v>
      </c>
      <c r="G421" s="209"/>
      <c r="I421" s="212"/>
      <c r="J421" s="209"/>
      <c r="K421" s="209"/>
    </row>
    <row r="422" spans="1:11">
      <c r="A422" s="208"/>
      <c r="B422" s="209" t="s">
        <v>2666</v>
      </c>
      <c r="C422" s="211" t="s">
        <v>1100</v>
      </c>
      <c r="D422" s="209" t="s">
        <v>2022</v>
      </c>
      <c r="E422" s="212">
        <v>2.2999999999999998</v>
      </c>
      <c r="F422" s="212" t="s">
        <v>2343</v>
      </c>
      <c r="G422" s="209"/>
      <c r="I422" s="209"/>
      <c r="J422" s="209"/>
      <c r="K422" s="209"/>
    </row>
    <row r="423" spans="1:11">
      <c r="A423" s="208"/>
      <c r="B423" s="209" t="s">
        <v>2666</v>
      </c>
      <c r="C423" s="211" t="s">
        <v>1101</v>
      </c>
      <c r="D423" s="209" t="s">
        <v>2022</v>
      </c>
      <c r="E423" s="212">
        <v>2.2999999999999998</v>
      </c>
      <c r="F423" s="209" t="s">
        <v>311</v>
      </c>
      <c r="G423" s="209"/>
      <c r="I423" s="209"/>
      <c r="J423" s="212"/>
      <c r="K423" s="212"/>
    </row>
    <row r="424" spans="1:11">
      <c r="A424" s="208"/>
      <c r="B424" s="209" t="s">
        <v>2666</v>
      </c>
      <c r="C424" s="211" t="s">
        <v>579</v>
      </c>
      <c r="D424" s="209" t="s">
        <v>503</v>
      </c>
      <c r="E424" s="209" t="s">
        <v>1658</v>
      </c>
      <c r="F424" s="209" t="s">
        <v>1113</v>
      </c>
      <c r="G424" s="209"/>
      <c r="H424" s="215"/>
      <c r="I424" s="212"/>
      <c r="J424" s="212"/>
      <c r="K424" s="212"/>
    </row>
    <row r="425" spans="1:11">
      <c r="A425" s="208"/>
      <c r="B425" s="209" t="s">
        <v>2666</v>
      </c>
      <c r="C425" s="211" t="s">
        <v>5616</v>
      </c>
      <c r="D425" s="212">
        <v>13.45</v>
      </c>
      <c r="E425" s="212">
        <v>2</v>
      </c>
      <c r="F425" s="212" t="s">
        <v>2347</v>
      </c>
      <c r="G425" s="209"/>
      <c r="H425" s="215"/>
      <c r="I425" s="212"/>
      <c r="J425" s="212"/>
      <c r="K425" s="209"/>
    </row>
    <row r="426" spans="1:11">
      <c r="A426" s="208"/>
      <c r="B426" s="209" t="s">
        <v>2666</v>
      </c>
      <c r="C426" s="211" t="s">
        <v>5617</v>
      </c>
      <c r="D426" s="212">
        <v>13.45</v>
      </c>
      <c r="E426" s="212" t="s">
        <v>405</v>
      </c>
      <c r="F426" s="212" t="s">
        <v>2347</v>
      </c>
      <c r="G426" s="209"/>
      <c r="H426" s="215"/>
      <c r="I426" s="209"/>
      <c r="J426" s="209"/>
      <c r="K426" s="209"/>
    </row>
    <row r="427" spans="1:11">
      <c r="A427" s="208"/>
      <c r="B427" s="209" t="s">
        <v>2666</v>
      </c>
      <c r="C427" s="211" t="s">
        <v>5593</v>
      </c>
      <c r="D427" s="212" t="s">
        <v>558</v>
      </c>
      <c r="E427" s="212" t="s">
        <v>1650</v>
      </c>
      <c r="F427" s="212" t="s">
        <v>5419</v>
      </c>
      <c r="G427" s="212"/>
      <c r="H427" s="215"/>
      <c r="I427" s="212"/>
      <c r="J427" s="212"/>
      <c r="K427" s="212"/>
    </row>
    <row r="428" spans="1:11">
      <c r="A428" s="208"/>
      <c r="B428" s="209" t="s">
        <v>2666</v>
      </c>
      <c r="C428" s="211" t="s">
        <v>508</v>
      </c>
      <c r="D428" s="209" t="s">
        <v>1248</v>
      </c>
      <c r="E428" s="209" t="s">
        <v>1662</v>
      </c>
      <c r="F428" s="209" t="s">
        <v>2348</v>
      </c>
      <c r="G428" s="212"/>
      <c r="H428" s="215"/>
      <c r="I428" s="212"/>
      <c r="J428" s="212"/>
      <c r="K428" s="212"/>
    </row>
    <row r="429" spans="1:11">
      <c r="A429" s="208"/>
      <c r="B429" s="209" t="s">
        <v>2666</v>
      </c>
      <c r="C429" s="211" t="s">
        <v>5420</v>
      </c>
      <c r="D429" s="209" t="s">
        <v>5421</v>
      </c>
      <c r="E429" s="209" t="s">
        <v>1658</v>
      </c>
      <c r="F429" s="209" t="s">
        <v>3786</v>
      </c>
      <c r="G429" s="212"/>
      <c r="H429" s="215"/>
      <c r="I429" s="212"/>
      <c r="J429" s="212"/>
      <c r="K429" s="212"/>
    </row>
    <row r="430" spans="1:11">
      <c r="A430" s="208"/>
      <c r="B430" s="209" t="s">
        <v>2667</v>
      </c>
      <c r="C430" s="211" t="s">
        <v>1103</v>
      </c>
      <c r="D430" s="212">
        <v>6.34</v>
      </c>
      <c r="E430" s="212">
        <v>1.55</v>
      </c>
      <c r="F430" s="209" t="s">
        <v>316</v>
      </c>
      <c r="G430" s="212"/>
      <c r="H430" s="215"/>
      <c r="I430" s="209"/>
      <c r="J430" s="209"/>
      <c r="K430" s="209"/>
    </row>
    <row r="431" spans="1:11">
      <c r="A431" s="208"/>
      <c r="B431" s="209" t="s">
        <v>2667</v>
      </c>
      <c r="C431" s="211" t="s">
        <v>1104</v>
      </c>
      <c r="D431" s="212">
        <v>9.1999999999999993</v>
      </c>
      <c r="E431" s="212">
        <v>1.8</v>
      </c>
      <c r="F431" s="212" t="s">
        <v>319</v>
      </c>
      <c r="G431" s="212"/>
      <c r="H431" s="215"/>
      <c r="I431" s="209"/>
      <c r="J431" s="209"/>
      <c r="K431" s="209"/>
    </row>
    <row r="432" spans="1:11">
      <c r="A432" s="208"/>
      <c r="B432" s="209" t="s">
        <v>2667</v>
      </c>
      <c r="C432" s="211" t="s">
        <v>1105</v>
      </c>
      <c r="D432" s="209" t="s">
        <v>2023</v>
      </c>
      <c r="E432" s="212">
        <v>1.85</v>
      </c>
      <c r="F432" s="212" t="s">
        <v>2359</v>
      </c>
      <c r="G432" s="212"/>
      <c r="I432" s="212"/>
      <c r="J432" s="212"/>
      <c r="K432" s="212"/>
    </row>
    <row r="433" spans="1:11">
      <c r="A433" s="208"/>
      <c r="B433" s="209" t="s">
        <v>2667</v>
      </c>
      <c r="C433" s="211" t="s">
        <v>1106</v>
      </c>
      <c r="D433" s="212">
        <v>9.25</v>
      </c>
      <c r="E433" s="212">
        <v>1.9</v>
      </c>
      <c r="F433" s="209" t="s">
        <v>311</v>
      </c>
      <c r="G433" s="212"/>
      <c r="I433" s="209"/>
      <c r="J433" s="209"/>
      <c r="K433" s="209"/>
    </row>
    <row r="434" spans="1:11">
      <c r="A434" s="208"/>
      <c r="B434" s="209" t="s">
        <v>2667</v>
      </c>
      <c r="C434" s="211" t="s">
        <v>1107</v>
      </c>
      <c r="D434" s="212">
        <v>10</v>
      </c>
      <c r="E434" s="212">
        <v>1.9</v>
      </c>
      <c r="F434" s="212" t="s">
        <v>2344</v>
      </c>
      <c r="G434" s="212"/>
      <c r="H434" s="215"/>
      <c r="I434" s="209"/>
      <c r="J434" s="209"/>
      <c r="K434" s="209"/>
    </row>
    <row r="435" spans="1:11">
      <c r="A435" s="208"/>
      <c r="B435" s="209" t="s">
        <v>2667</v>
      </c>
      <c r="C435" s="211" t="s">
        <v>1108</v>
      </c>
      <c r="D435" s="212">
        <v>9.9499999999999993</v>
      </c>
      <c r="E435" s="212">
        <v>1.78</v>
      </c>
      <c r="F435" s="212" t="s">
        <v>3560</v>
      </c>
      <c r="G435" s="209"/>
      <c r="H435" s="215"/>
      <c r="I435" s="209"/>
      <c r="J435" s="209"/>
      <c r="K435" s="209"/>
    </row>
    <row r="436" spans="1:11">
      <c r="A436" s="208"/>
      <c r="B436" s="209" t="s">
        <v>2667</v>
      </c>
      <c r="C436" s="211" t="s">
        <v>610</v>
      </c>
      <c r="D436" s="212">
        <v>9.99</v>
      </c>
      <c r="E436" s="212">
        <v>2</v>
      </c>
      <c r="F436" s="209" t="s">
        <v>2362</v>
      </c>
      <c r="G436" s="209"/>
      <c r="I436" s="209"/>
      <c r="J436" s="209"/>
      <c r="K436" s="209"/>
    </row>
    <row r="437" spans="1:11">
      <c r="A437" s="208"/>
      <c r="B437" s="209" t="s">
        <v>2667</v>
      </c>
      <c r="C437" s="211" t="s">
        <v>611</v>
      </c>
      <c r="D437" s="212">
        <v>9.99</v>
      </c>
      <c r="E437" s="212">
        <v>2.1</v>
      </c>
      <c r="F437" s="209" t="s">
        <v>2362</v>
      </c>
      <c r="G437" s="212"/>
      <c r="H437" s="215"/>
      <c r="I437" s="209"/>
      <c r="J437" s="209"/>
      <c r="K437" s="209"/>
    </row>
    <row r="438" spans="1:11">
      <c r="A438" s="208"/>
      <c r="B438" s="209" t="s">
        <v>2667</v>
      </c>
      <c r="C438" s="211" t="s">
        <v>4264</v>
      </c>
      <c r="D438" s="212">
        <v>10.6</v>
      </c>
      <c r="E438" s="212">
        <v>2.15</v>
      </c>
      <c r="F438" s="209" t="s">
        <v>2346</v>
      </c>
      <c r="G438" s="212"/>
      <c r="H438" s="215"/>
      <c r="I438" s="212"/>
      <c r="J438" s="212"/>
      <c r="K438" s="212"/>
    </row>
    <row r="439" spans="1:11">
      <c r="A439" s="208"/>
      <c r="B439" s="209" t="s">
        <v>2667</v>
      </c>
      <c r="C439" s="211" t="s">
        <v>4265</v>
      </c>
      <c r="D439" s="212">
        <v>10.6</v>
      </c>
      <c r="E439" s="212">
        <v>2.35</v>
      </c>
      <c r="F439" s="209" t="s">
        <v>2346</v>
      </c>
      <c r="G439" s="209"/>
      <c r="H439" s="215"/>
      <c r="I439" s="209"/>
      <c r="J439" s="209"/>
      <c r="K439" s="209"/>
    </row>
    <row r="440" spans="1:11">
      <c r="A440" s="208"/>
      <c r="B440" s="209" t="s">
        <v>2667</v>
      </c>
      <c r="C440" s="211" t="s">
        <v>4266</v>
      </c>
      <c r="D440" s="209" t="s">
        <v>580</v>
      </c>
      <c r="E440" s="209" t="s">
        <v>445</v>
      </c>
      <c r="F440" s="209" t="s">
        <v>2346</v>
      </c>
      <c r="G440" s="212"/>
      <c r="I440" s="209"/>
      <c r="J440" s="209"/>
      <c r="K440" s="209"/>
    </row>
    <row r="441" spans="1:11">
      <c r="A441" s="208"/>
      <c r="B441" s="209" t="s">
        <v>2667</v>
      </c>
      <c r="C441" s="211" t="s">
        <v>4267</v>
      </c>
      <c r="D441" s="209" t="s">
        <v>580</v>
      </c>
      <c r="E441" s="209" t="s">
        <v>1662</v>
      </c>
      <c r="F441" s="209" t="s">
        <v>2346</v>
      </c>
      <c r="G441" s="212"/>
      <c r="I441" s="209"/>
      <c r="J441" s="209"/>
      <c r="K441" s="209"/>
    </row>
    <row r="442" spans="1:11">
      <c r="A442" s="208"/>
      <c r="B442" s="209" t="s">
        <v>2667</v>
      </c>
      <c r="C442" s="211" t="s">
        <v>1109</v>
      </c>
      <c r="D442" s="212">
        <v>10.69</v>
      </c>
      <c r="E442" s="212">
        <v>1.9</v>
      </c>
      <c r="F442" s="212" t="s">
        <v>2344</v>
      </c>
      <c r="G442" s="212"/>
      <c r="H442" s="215"/>
      <c r="I442" s="209"/>
      <c r="J442" s="209"/>
      <c r="K442" s="209"/>
    </row>
    <row r="443" spans="1:11">
      <c r="A443" s="208"/>
      <c r="B443" s="209" t="s">
        <v>2667</v>
      </c>
      <c r="C443" s="211" t="s">
        <v>613</v>
      </c>
      <c r="D443" s="212">
        <v>11.16</v>
      </c>
      <c r="E443" s="212">
        <v>2.0499999999999998</v>
      </c>
      <c r="F443" s="212" t="s">
        <v>2345</v>
      </c>
      <c r="G443" s="209"/>
      <c r="I443" s="209"/>
      <c r="J443" s="209"/>
      <c r="K443" s="209"/>
    </row>
    <row r="444" spans="1:11">
      <c r="A444" s="208"/>
      <c r="B444" s="209" t="s">
        <v>2667</v>
      </c>
      <c r="C444" s="211" t="s">
        <v>612</v>
      </c>
      <c r="D444" s="209" t="s">
        <v>2024</v>
      </c>
      <c r="E444" s="212">
        <v>2.33</v>
      </c>
      <c r="F444" s="212" t="s">
        <v>2345</v>
      </c>
      <c r="G444" s="209"/>
      <c r="I444" s="209"/>
      <c r="J444" s="209"/>
      <c r="K444" s="209"/>
    </row>
    <row r="445" spans="1:11">
      <c r="A445" s="208"/>
      <c r="B445" s="209" t="s">
        <v>2667</v>
      </c>
      <c r="C445" s="211" t="s">
        <v>1110</v>
      </c>
      <c r="D445" s="212">
        <v>11.8</v>
      </c>
      <c r="E445" s="212">
        <v>1.79</v>
      </c>
      <c r="F445" s="212" t="s">
        <v>2339</v>
      </c>
      <c r="G445" s="212"/>
      <c r="I445" s="209"/>
      <c r="J445" s="209"/>
      <c r="K445" s="209"/>
    </row>
    <row r="446" spans="1:11">
      <c r="A446" s="208"/>
      <c r="B446" s="209" t="s">
        <v>2667</v>
      </c>
      <c r="C446" s="211" t="s">
        <v>1111</v>
      </c>
      <c r="D446" s="212">
        <v>11.34</v>
      </c>
      <c r="E446" s="212">
        <v>2.35</v>
      </c>
      <c r="F446" s="209" t="s">
        <v>311</v>
      </c>
      <c r="G446" s="209"/>
      <c r="I446" s="209"/>
      <c r="J446" s="209"/>
      <c r="K446" s="209"/>
    </row>
    <row r="447" spans="1:11">
      <c r="A447" s="208"/>
      <c r="B447" s="209" t="s">
        <v>2667</v>
      </c>
      <c r="C447" s="211" t="s">
        <v>614</v>
      </c>
      <c r="D447" s="212">
        <v>11.9</v>
      </c>
      <c r="E447" s="212">
        <v>2.0499999999999998</v>
      </c>
      <c r="F447" s="212" t="s">
        <v>2359</v>
      </c>
      <c r="G447" s="209"/>
      <c r="H447" s="215"/>
      <c r="I447" s="209"/>
      <c r="J447" s="209"/>
      <c r="K447" s="209"/>
    </row>
    <row r="448" spans="1:11">
      <c r="A448" s="208"/>
      <c r="B448" s="209" t="s">
        <v>2667</v>
      </c>
      <c r="C448" s="211" t="s">
        <v>3894</v>
      </c>
      <c r="D448" s="212">
        <v>11.9</v>
      </c>
      <c r="E448" s="212">
        <v>2.4</v>
      </c>
      <c r="F448" s="212" t="s">
        <v>2359</v>
      </c>
      <c r="G448" s="209"/>
      <c r="H448" s="215"/>
      <c r="I448" s="209"/>
      <c r="J448" s="209"/>
      <c r="K448" s="209"/>
    </row>
    <row r="449" spans="1:11">
      <c r="A449" s="208"/>
      <c r="B449" s="209" t="s">
        <v>2667</v>
      </c>
      <c r="C449" s="211" t="s">
        <v>1112</v>
      </c>
      <c r="D449" s="212">
        <v>11.95</v>
      </c>
      <c r="E449" s="212">
        <v>2.2000000000000002</v>
      </c>
      <c r="F449" s="209" t="s">
        <v>3000</v>
      </c>
      <c r="G449" s="209"/>
      <c r="I449" s="209"/>
      <c r="J449" s="209"/>
      <c r="K449" s="209"/>
    </row>
    <row r="450" spans="1:11">
      <c r="A450" s="208"/>
      <c r="B450" s="209" t="s">
        <v>2667</v>
      </c>
      <c r="C450" s="211" t="s">
        <v>1114</v>
      </c>
      <c r="D450" s="212">
        <v>11.95</v>
      </c>
      <c r="E450" s="212">
        <v>2.4</v>
      </c>
      <c r="F450" s="209" t="s">
        <v>3000</v>
      </c>
      <c r="G450" s="209"/>
      <c r="I450" s="209"/>
      <c r="J450" s="209"/>
      <c r="K450" s="209"/>
    </row>
    <row r="451" spans="1:11">
      <c r="A451" s="208"/>
      <c r="B451" s="209" t="s">
        <v>2667</v>
      </c>
      <c r="C451" s="211" t="s">
        <v>1115</v>
      </c>
      <c r="D451" s="212">
        <v>11.95</v>
      </c>
      <c r="E451" s="212">
        <v>2.4</v>
      </c>
      <c r="F451" s="209" t="s">
        <v>3000</v>
      </c>
      <c r="G451" s="212"/>
      <c r="I451" s="209"/>
      <c r="J451" s="209"/>
      <c r="K451" s="209"/>
    </row>
    <row r="452" spans="1:11">
      <c r="A452" s="208"/>
      <c r="B452" s="209" t="s">
        <v>2667</v>
      </c>
      <c r="C452" s="211" t="s">
        <v>5625</v>
      </c>
      <c r="D452" s="212">
        <v>12.28</v>
      </c>
      <c r="E452" s="212" t="s">
        <v>407</v>
      </c>
      <c r="F452" s="209" t="s">
        <v>2348</v>
      </c>
      <c r="G452" s="209"/>
      <c r="I452" s="209"/>
      <c r="J452" s="209"/>
      <c r="K452" s="209"/>
    </row>
    <row r="453" spans="1:11">
      <c r="A453" s="208"/>
      <c r="B453" s="209" t="s">
        <v>2667</v>
      </c>
      <c r="C453" s="211" t="s">
        <v>5626</v>
      </c>
      <c r="D453" s="212">
        <v>12.28</v>
      </c>
      <c r="E453" s="212">
        <v>2.4500000000000002</v>
      </c>
      <c r="F453" s="209" t="s">
        <v>2348</v>
      </c>
      <c r="G453" s="209"/>
      <c r="I453" s="209"/>
      <c r="J453" s="209"/>
      <c r="K453" s="209"/>
    </row>
    <row r="454" spans="1:11">
      <c r="A454" s="208"/>
      <c r="B454" s="209" t="s">
        <v>2667</v>
      </c>
      <c r="C454" s="211" t="s">
        <v>1116</v>
      </c>
      <c r="D454" s="212">
        <v>13</v>
      </c>
      <c r="E454" s="212">
        <v>2</v>
      </c>
      <c r="F454" s="212" t="s">
        <v>324</v>
      </c>
      <c r="G454" s="209"/>
      <c r="I454" s="209"/>
      <c r="J454" s="209"/>
      <c r="K454" s="209"/>
    </row>
    <row r="455" spans="1:11">
      <c r="A455" s="208"/>
      <c r="B455" s="209" t="s">
        <v>2667</v>
      </c>
      <c r="C455" s="211" t="s">
        <v>499</v>
      </c>
      <c r="D455" s="209" t="s">
        <v>1113</v>
      </c>
      <c r="E455" s="209" t="s">
        <v>406</v>
      </c>
      <c r="F455" s="209" t="s">
        <v>321</v>
      </c>
      <c r="G455" s="209"/>
      <c r="I455" s="209"/>
      <c r="J455" s="209"/>
      <c r="K455" s="209"/>
    </row>
    <row r="456" spans="1:11">
      <c r="A456" s="208"/>
      <c r="B456" s="209" t="s">
        <v>2667</v>
      </c>
      <c r="C456" s="211" t="s">
        <v>501</v>
      </c>
      <c r="D456" s="209" t="s">
        <v>1113</v>
      </c>
      <c r="E456" s="209" t="s">
        <v>502</v>
      </c>
      <c r="F456" s="209" t="s">
        <v>321</v>
      </c>
      <c r="G456" s="209"/>
      <c r="I456" s="209"/>
      <c r="J456" s="209"/>
      <c r="K456" s="209"/>
    </row>
    <row r="457" spans="1:11">
      <c r="A457" s="208"/>
      <c r="B457" s="209" t="s">
        <v>2667</v>
      </c>
      <c r="C457" s="211" t="s">
        <v>500</v>
      </c>
      <c r="D457" s="209" t="s">
        <v>1113</v>
      </c>
      <c r="E457" s="209" t="s">
        <v>406</v>
      </c>
      <c r="F457" s="209" t="s">
        <v>321</v>
      </c>
      <c r="G457" s="209"/>
      <c r="I457" s="209"/>
      <c r="J457" s="209"/>
      <c r="K457" s="209"/>
    </row>
    <row r="458" spans="1:11">
      <c r="A458" s="208"/>
      <c r="B458" s="209" t="s">
        <v>2667</v>
      </c>
      <c r="C458" s="211" t="s">
        <v>3895</v>
      </c>
      <c r="D458" s="212">
        <v>13.6</v>
      </c>
      <c r="E458" s="212">
        <v>2.0499999999999998</v>
      </c>
      <c r="F458" s="209" t="s">
        <v>2348</v>
      </c>
      <c r="G458" s="209"/>
      <c r="I458" s="209"/>
      <c r="J458" s="209"/>
      <c r="K458" s="209"/>
    </row>
    <row r="459" spans="1:11">
      <c r="A459" s="208"/>
      <c r="B459" s="209" t="s">
        <v>2667</v>
      </c>
      <c r="C459" s="211" t="s">
        <v>5565</v>
      </c>
      <c r="D459" s="212" t="s">
        <v>5566</v>
      </c>
      <c r="E459" s="212" t="s">
        <v>5395</v>
      </c>
      <c r="F459" s="209" t="s">
        <v>5567</v>
      </c>
      <c r="G459" s="209"/>
      <c r="I459" s="212"/>
      <c r="J459" s="212"/>
      <c r="K459" s="212"/>
    </row>
    <row r="460" spans="1:11">
      <c r="A460" s="208"/>
      <c r="B460" s="209" t="s">
        <v>2668</v>
      </c>
      <c r="C460" s="211" t="s">
        <v>1121</v>
      </c>
      <c r="D460" s="212">
        <v>11.43</v>
      </c>
      <c r="E460" s="212">
        <v>1.72</v>
      </c>
      <c r="F460" s="212" t="s">
        <v>2355</v>
      </c>
      <c r="G460" s="209"/>
      <c r="I460" s="212"/>
      <c r="J460" s="212"/>
      <c r="K460" s="212"/>
    </row>
    <row r="461" spans="1:11">
      <c r="A461" s="208"/>
      <c r="B461" s="209" t="s">
        <v>2668</v>
      </c>
      <c r="C461" s="211" t="s">
        <v>1122</v>
      </c>
      <c r="D461" s="212">
        <v>11.53</v>
      </c>
      <c r="E461" s="212">
        <v>1.98</v>
      </c>
      <c r="F461" s="212" t="s">
        <v>2370</v>
      </c>
      <c r="G461" s="209"/>
      <c r="I461" s="209"/>
      <c r="J461" s="209"/>
      <c r="K461" s="209"/>
    </row>
    <row r="462" spans="1:11">
      <c r="A462" s="208"/>
      <c r="B462" s="209" t="s">
        <v>2668</v>
      </c>
      <c r="C462" s="211" t="s">
        <v>1123</v>
      </c>
      <c r="D462" s="212">
        <v>11.89</v>
      </c>
      <c r="E462" s="212">
        <v>1.86</v>
      </c>
      <c r="F462" s="212" t="s">
        <v>2350</v>
      </c>
      <c r="G462" s="209"/>
      <c r="I462" s="209"/>
      <c r="J462" s="209"/>
      <c r="K462" s="209"/>
    </row>
    <row r="463" spans="1:11">
      <c r="A463" s="208"/>
      <c r="B463" s="209" t="s">
        <v>2669</v>
      </c>
      <c r="C463" s="211" t="s">
        <v>1126</v>
      </c>
      <c r="D463" s="212">
        <v>8.4499999999999993</v>
      </c>
      <c r="E463" s="212">
        <v>1.25</v>
      </c>
      <c r="F463" s="212" t="s">
        <v>3508</v>
      </c>
      <c r="G463" s="209"/>
      <c r="I463" s="212"/>
      <c r="J463" s="212"/>
      <c r="K463" s="212"/>
    </row>
    <row r="464" spans="1:11">
      <c r="A464" s="208"/>
      <c r="B464" s="209" t="s">
        <v>2669</v>
      </c>
      <c r="C464" s="211" t="s">
        <v>1127</v>
      </c>
      <c r="D464" s="212">
        <v>9</v>
      </c>
      <c r="E464" s="212">
        <v>1.74</v>
      </c>
      <c r="F464" s="212" t="s">
        <v>332</v>
      </c>
      <c r="G464" s="209"/>
      <c r="I464" s="209"/>
      <c r="J464" s="209"/>
      <c r="K464" s="209"/>
    </row>
    <row r="465" spans="1:11">
      <c r="A465" s="208"/>
      <c r="B465" s="209" t="s">
        <v>2669</v>
      </c>
      <c r="C465" s="211" t="s">
        <v>1128</v>
      </c>
      <c r="D465" s="212">
        <v>9.61</v>
      </c>
      <c r="E465" s="212">
        <v>1.3</v>
      </c>
      <c r="F465" s="212" t="s">
        <v>310</v>
      </c>
      <c r="G465" s="209"/>
      <c r="I465" s="212"/>
      <c r="J465" s="212"/>
      <c r="K465" s="212"/>
    </row>
    <row r="466" spans="1:11">
      <c r="A466" s="208"/>
      <c r="B466" s="209" t="s">
        <v>2670</v>
      </c>
      <c r="C466" s="211" t="s">
        <v>1129</v>
      </c>
      <c r="D466" s="209" t="s">
        <v>1997</v>
      </c>
      <c r="E466" s="212">
        <v>1.83</v>
      </c>
      <c r="F466" s="212" t="s">
        <v>3560</v>
      </c>
      <c r="G466" s="209"/>
      <c r="I466" s="209"/>
      <c r="J466" s="209"/>
      <c r="K466" s="209"/>
    </row>
    <row r="467" spans="1:11">
      <c r="A467" s="208"/>
      <c r="B467" s="209" t="s">
        <v>2670</v>
      </c>
      <c r="C467" s="211" t="s">
        <v>1130</v>
      </c>
      <c r="D467" s="212">
        <v>12.94</v>
      </c>
      <c r="E467" s="212">
        <v>2.84</v>
      </c>
      <c r="F467" s="212" t="s">
        <v>306</v>
      </c>
      <c r="G467" s="209"/>
      <c r="I467" s="209"/>
      <c r="J467" s="209"/>
      <c r="K467" s="209"/>
    </row>
    <row r="468" spans="1:11">
      <c r="A468" s="208"/>
      <c r="B468" s="209" t="s">
        <v>2671</v>
      </c>
      <c r="C468" s="211" t="s">
        <v>1132</v>
      </c>
      <c r="D468" s="209" t="s">
        <v>2026</v>
      </c>
      <c r="E468" s="212">
        <v>1.83</v>
      </c>
      <c r="F468" s="212" t="s">
        <v>324</v>
      </c>
      <c r="G468" s="209"/>
      <c r="I468" s="209"/>
      <c r="J468" s="209"/>
      <c r="K468" s="209"/>
    </row>
    <row r="469" spans="1:11">
      <c r="A469" s="208"/>
      <c r="B469" s="209" t="s">
        <v>2671</v>
      </c>
      <c r="C469" s="211" t="s">
        <v>1133</v>
      </c>
      <c r="D469" s="212">
        <v>10.64</v>
      </c>
      <c r="E469" s="212">
        <v>2.02</v>
      </c>
      <c r="F469" s="212" t="s">
        <v>306</v>
      </c>
      <c r="G469" s="209"/>
      <c r="H469" s="215"/>
      <c r="I469" s="209"/>
      <c r="J469" s="209"/>
      <c r="K469" s="209"/>
    </row>
    <row r="470" spans="1:11">
      <c r="A470" s="208"/>
      <c r="B470" s="209" t="s">
        <v>2671</v>
      </c>
      <c r="C470" s="211" t="s">
        <v>3897</v>
      </c>
      <c r="D470" s="212">
        <v>11.3</v>
      </c>
      <c r="E470" s="212">
        <v>2.0699999999999998</v>
      </c>
      <c r="F470" s="212" t="s">
        <v>306</v>
      </c>
      <c r="G470" s="209"/>
      <c r="H470" s="215"/>
      <c r="I470" s="209"/>
      <c r="J470" s="209"/>
      <c r="K470" s="209"/>
    </row>
    <row r="471" spans="1:11">
      <c r="A471" s="208" t="s">
        <v>2342</v>
      </c>
      <c r="B471" s="209" t="s">
        <v>2671</v>
      </c>
      <c r="C471" s="211" t="s">
        <v>3896</v>
      </c>
      <c r="D471" s="212">
        <v>11.3</v>
      </c>
      <c r="E471" s="212">
        <v>2.2200000000000002</v>
      </c>
      <c r="F471" s="212" t="s">
        <v>306</v>
      </c>
      <c r="G471" s="209"/>
      <c r="I471" s="209"/>
      <c r="J471" s="209"/>
      <c r="K471" s="209"/>
    </row>
    <row r="472" spans="1:11">
      <c r="A472" s="208"/>
      <c r="B472" s="209" t="s">
        <v>5365</v>
      </c>
      <c r="C472" s="211" t="s">
        <v>5366</v>
      </c>
      <c r="D472" s="212" t="s">
        <v>5367</v>
      </c>
      <c r="E472" s="212" t="s">
        <v>5368</v>
      </c>
      <c r="F472" s="212" t="s">
        <v>5327</v>
      </c>
      <c r="G472" s="209"/>
      <c r="I472" s="209"/>
      <c r="J472" s="209"/>
      <c r="K472" s="209"/>
    </row>
    <row r="473" spans="1:11">
      <c r="A473" s="208"/>
      <c r="B473" s="209" t="s">
        <v>5365</v>
      </c>
      <c r="C473" s="211" t="s">
        <v>1137</v>
      </c>
      <c r="D473" s="212" t="s">
        <v>1294</v>
      </c>
      <c r="E473" s="212" t="s">
        <v>436</v>
      </c>
      <c r="F473" s="212" t="s">
        <v>5369</v>
      </c>
      <c r="G473" s="212"/>
      <c r="H473" s="215"/>
      <c r="I473" s="209"/>
      <c r="J473" s="209"/>
      <c r="K473" s="209"/>
    </row>
    <row r="474" spans="1:11">
      <c r="A474" s="208"/>
      <c r="B474" s="209" t="s">
        <v>5365</v>
      </c>
      <c r="C474" s="211" t="s">
        <v>5370</v>
      </c>
      <c r="D474" s="212" t="s">
        <v>5371</v>
      </c>
      <c r="E474" s="212" t="s">
        <v>421</v>
      </c>
      <c r="F474" s="212" t="s">
        <v>4685</v>
      </c>
      <c r="G474" s="212"/>
      <c r="I474" s="209"/>
      <c r="J474" s="209"/>
      <c r="K474" s="209"/>
    </row>
    <row r="475" spans="1:11">
      <c r="A475" s="208" t="s">
        <v>2342</v>
      </c>
      <c r="B475" s="209" t="s">
        <v>2672</v>
      </c>
      <c r="C475" s="211" t="s">
        <v>1138</v>
      </c>
      <c r="D475" s="209" t="s">
        <v>2028</v>
      </c>
      <c r="E475" s="212">
        <v>1.83</v>
      </c>
      <c r="F475" s="212" t="s">
        <v>326</v>
      </c>
      <c r="G475" s="209"/>
      <c r="H475" s="215"/>
      <c r="I475" s="212"/>
      <c r="J475" s="212"/>
      <c r="K475" s="212"/>
    </row>
    <row r="476" spans="1:11">
      <c r="A476" s="208"/>
      <c r="B476" s="209" t="s">
        <v>2672</v>
      </c>
      <c r="C476" s="211" t="s">
        <v>1139</v>
      </c>
      <c r="D476" s="212">
        <v>11.66</v>
      </c>
      <c r="E476" s="212">
        <v>2.0099999999999998</v>
      </c>
      <c r="F476" s="212" t="s">
        <v>2353</v>
      </c>
      <c r="G476" s="209"/>
      <c r="I476" s="209"/>
      <c r="J476" s="209"/>
      <c r="K476" s="209"/>
    </row>
    <row r="477" spans="1:11">
      <c r="A477" s="208"/>
      <c r="B477" s="209" t="s">
        <v>2672</v>
      </c>
      <c r="C477" s="211" t="s">
        <v>1140</v>
      </c>
      <c r="D477" s="209" t="s">
        <v>2029</v>
      </c>
      <c r="E477" s="212">
        <v>1.92</v>
      </c>
      <c r="F477" s="212" t="s">
        <v>3530</v>
      </c>
      <c r="G477" s="212"/>
      <c r="I477" s="209"/>
      <c r="J477" s="209"/>
      <c r="K477" s="209"/>
    </row>
    <row r="478" spans="1:11">
      <c r="A478" s="208"/>
      <c r="B478" s="209" t="s">
        <v>2672</v>
      </c>
      <c r="C478" s="211" t="s">
        <v>1141</v>
      </c>
      <c r="D478" s="212">
        <v>11.19</v>
      </c>
      <c r="E478" s="212">
        <v>2.7</v>
      </c>
      <c r="F478" s="209" t="s">
        <v>2348</v>
      </c>
      <c r="G478" s="209"/>
      <c r="I478" s="212"/>
      <c r="J478" s="212"/>
      <c r="K478" s="212"/>
    </row>
    <row r="479" spans="1:11">
      <c r="A479" s="208"/>
      <c r="B479" s="209" t="s">
        <v>2672</v>
      </c>
      <c r="C479" s="211" t="s">
        <v>565</v>
      </c>
      <c r="D479" s="209" t="s">
        <v>566</v>
      </c>
      <c r="E479" s="209" t="s">
        <v>407</v>
      </c>
      <c r="F479" s="209" t="s">
        <v>557</v>
      </c>
      <c r="G479" s="212"/>
      <c r="I479" s="209"/>
      <c r="J479" s="209"/>
      <c r="K479" s="209"/>
    </row>
    <row r="480" spans="1:11">
      <c r="A480" s="208"/>
      <c r="B480" s="209" t="s">
        <v>2672</v>
      </c>
      <c r="C480" s="211" t="s">
        <v>763</v>
      </c>
      <c r="D480" s="212">
        <v>9.43</v>
      </c>
      <c r="E480" s="212">
        <v>2.15</v>
      </c>
      <c r="F480" s="209" t="s">
        <v>2339</v>
      </c>
      <c r="G480" s="209"/>
      <c r="I480" s="209"/>
      <c r="J480" s="209"/>
      <c r="K480" s="209"/>
    </row>
    <row r="481" spans="1:11">
      <c r="A481" s="208"/>
      <c r="B481" s="209" t="s">
        <v>2672</v>
      </c>
      <c r="C481" s="211" t="s">
        <v>1142</v>
      </c>
      <c r="D481" s="212">
        <v>9.5500000000000007</v>
      </c>
      <c r="E481" s="212">
        <v>1.99</v>
      </c>
      <c r="F481" s="209" t="s">
        <v>353</v>
      </c>
      <c r="G481" s="209"/>
      <c r="I481" s="212"/>
      <c r="J481" s="212"/>
      <c r="K481" s="212"/>
    </row>
    <row r="482" spans="1:11">
      <c r="A482" s="208" t="s">
        <v>2342</v>
      </c>
      <c r="B482" s="209" t="s">
        <v>2672</v>
      </c>
      <c r="C482" s="211" t="s">
        <v>1143</v>
      </c>
      <c r="D482" s="209" t="s">
        <v>2030</v>
      </c>
      <c r="E482" s="212">
        <v>2.6</v>
      </c>
      <c r="F482" s="212" t="s">
        <v>310</v>
      </c>
      <c r="G482" s="209"/>
      <c r="I482" s="209"/>
      <c r="J482" s="209"/>
      <c r="K482" s="209"/>
    </row>
    <row r="483" spans="1:11">
      <c r="A483" s="208"/>
      <c r="B483" s="209" t="s">
        <v>2672</v>
      </c>
      <c r="C483" s="211" t="s">
        <v>764</v>
      </c>
      <c r="D483" s="209" t="s">
        <v>2031</v>
      </c>
      <c r="E483" s="212"/>
      <c r="F483" s="209"/>
      <c r="G483" s="209"/>
      <c r="I483" s="209"/>
      <c r="J483" s="209"/>
      <c r="K483" s="209"/>
    </row>
    <row r="484" spans="1:11">
      <c r="A484" s="208"/>
      <c r="B484" s="209" t="s">
        <v>2672</v>
      </c>
      <c r="C484" s="211" t="s">
        <v>1144</v>
      </c>
      <c r="D484" s="212">
        <v>11.41</v>
      </c>
      <c r="E484" s="212">
        <v>2.23</v>
      </c>
      <c r="F484" s="212" t="s">
        <v>3508</v>
      </c>
      <c r="G484" s="209"/>
      <c r="I484" s="209"/>
      <c r="J484" s="209"/>
      <c r="K484" s="209"/>
    </row>
    <row r="485" spans="1:11">
      <c r="A485" s="208"/>
      <c r="B485" s="209" t="s">
        <v>2672</v>
      </c>
      <c r="C485" s="211" t="s">
        <v>1145</v>
      </c>
      <c r="D485" s="209" t="s">
        <v>2032</v>
      </c>
      <c r="E485" s="212">
        <v>1.94</v>
      </c>
      <c r="F485" s="212" t="s">
        <v>2353</v>
      </c>
      <c r="G485" s="209"/>
      <c r="H485" s="215"/>
      <c r="I485" s="209"/>
      <c r="J485" s="209"/>
      <c r="K485" s="209"/>
    </row>
    <row r="486" spans="1:11">
      <c r="A486" s="208" t="s">
        <v>2342</v>
      </c>
      <c r="B486" s="209" t="s">
        <v>2672</v>
      </c>
      <c r="C486" s="211" t="s">
        <v>1146</v>
      </c>
      <c r="D486" s="209" t="s">
        <v>2033</v>
      </c>
      <c r="E486" s="212">
        <v>1.96</v>
      </c>
      <c r="F486" s="212" t="s">
        <v>329</v>
      </c>
      <c r="G486" s="209"/>
      <c r="I486" s="209"/>
      <c r="J486" s="209"/>
      <c r="K486" s="209"/>
    </row>
    <row r="487" spans="1:11">
      <c r="A487" s="208"/>
      <c r="B487" s="209" t="s">
        <v>2672</v>
      </c>
      <c r="C487" s="211" t="s">
        <v>1147</v>
      </c>
      <c r="D487" s="212">
        <v>11.78</v>
      </c>
      <c r="E487" s="212">
        <v>1.98</v>
      </c>
      <c r="F487" s="212" t="s">
        <v>3539</v>
      </c>
      <c r="G487" s="209"/>
      <c r="I487" s="209"/>
      <c r="J487" s="209"/>
      <c r="K487" s="209"/>
    </row>
    <row r="488" spans="1:11">
      <c r="A488" s="208"/>
      <c r="B488" s="209" t="s">
        <v>2672</v>
      </c>
      <c r="C488" s="211" t="s">
        <v>3899</v>
      </c>
      <c r="D488" s="212">
        <v>11.93</v>
      </c>
      <c r="E488" s="212">
        <v>1.81</v>
      </c>
      <c r="F488" s="212" t="s">
        <v>343</v>
      </c>
      <c r="G488" s="209"/>
      <c r="H488" s="215"/>
      <c r="I488" s="212"/>
      <c r="J488" s="212"/>
      <c r="K488" s="212"/>
    </row>
    <row r="489" spans="1:11">
      <c r="A489" s="208"/>
      <c r="B489" s="209" t="s">
        <v>2672</v>
      </c>
      <c r="C489" s="211" t="s">
        <v>3898</v>
      </c>
      <c r="D489" s="212">
        <v>11.93</v>
      </c>
      <c r="E489" s="212">
        <v>2.38</v>
      </c>
      <c r="F489" s="212" t="s">
        <v>343</v>
      </c>
      <c r="G489" s="209"/>
      <c r="I489" s="209"/>
      <c r="J489" s="209"/>
      <c r="K489" s="209"/>
    </row>
    <row r="490" spans="1:11">
      <c r="A490" s="208"/>
      <c r="B490" s="209" t="s">
        <v>2672</v>
      </c>
      <c r="C490" s="211" t="s">
        <v>765</v>
      </c>
      <c r="D490" s="212">
        <v>12.41</v>
      </c>
      <c r="E490" s="212">
        <v>2.6</v>
      </c>
      <c r="F490" s="212" t="s">
        <v>2339</v>
      </c>
      <c r="G490" s="212"/>
      <c r="I490" s="209"/>
      <c r="J490" s="209"/>
      <c r="K490" s="209"/>
    </row>
    <row r="491" spans="1:11">
      <c r="A491" s="208"/>
      <c r="B491" s="209" t="s">
        <v>2672</v>
      </c>
      <c r="C491" s="211" t="s">
        <v>1148</v>
      </c>
      <c r="D491" s="212">
        <v>11.8</v>
      </c>
      <c r="E491" s="212">
        <v>2.9</v>
      </c>
      <c r="F491" s="209" t="s">
        <v>316</v>
      </c>
      <c r="G491" s="209"/>
      <c r="H491" s="215"/>
      <c r="I491" s="209"/>
      <c r="J491" s="209"/>
      <c r="K491" s="209"/>
    </row>
    <row r="492" spans="1:11">
      <c r="A492" s="208"/>
      <c r="B492" s="209" t="s">
        <v>2672</v>
      </c>
      <c r="C492" s="211" t="s">
        <v>1149</v>
      </c>
      <c r="D492" s="212">
        <v>12.75</v>
      </c>
      <c r="E492" s="212">
        <v>2.5499999999999998</v>
      </c>
      <c r="F492" s="209" t="s">
        <v>2362</v>
      </c>
      <c r="G492" s="209"/>
      <c r="I492" s="209"/>
      <c r="J492" s="209"/>
      <c r="K492" s="209"/>
    </row>
    <row r="493" spans="1:11">
      <c r="A493" s="208"/>
      <c r="B493" s="209" t="s">
        <v>2672</v>
      </c>
      <c r="C493" s="211" t="s">
        <v>1150</v>
      </c>
      <c r="D493" s="212">
        <v>13.11</v>
      </c>
      <c r="E493" s="212">
        <v>2.42</v>
      </c>
      <c r="F493" s="212" t="s">
        <v>332</v>
      </c>
      <c r="G493" s="212"/>
      <c r="I493" s="209"/>
      <c r="J493" s="209"/>
      <c r="K493" s="209"/>
    </row>
    <row r="494" spans="1:11">
      <c r="A494" s="208"/>
      <c r="B494" s="209" t="s">
        <v>2672</v>
      </c>
      <c r="C494" s="211" t="s">
        <v>766</v>
      </c>
      <c r="D494" s="212">
        <v>13.8</v>
      </c>
      <c r="E494" s="212">
        <v>2.91</v>
      </c>
      <c r="F494" s="212" t="s">
        <v>2339</v>
      </c>
      <c r="G494" s="209"/>
      <c r="I494" s="209"/>
      <c r="J494" s="209"/>
      <c r="K494" s="209"/>
    </row>
    <row r="495" spans="1:11">
      <c r="A495" s="208"/>
      <c r="B495" s="209" t="s">
        <v>2672</v>
      </c>
      <c r="C495" s="211" t="s">
        <v>1151</v>
      </c>
      <c r="D495" s="212">
        <v>15.83</v>
      </c>
      <c r="E495" s="212">
        <v>3.22</v>
      </c>
      <c r="F495" s="212" t="s">
        <v>341</v>
      </c>
      <c r="G495" s="209"/>
      <c r="I495" s="209"/>
      <c r="J495" s="209"/>
      <c r="K495" s="209"/>
    </row>
    <row r="496" spans="1:11">
      <c r="A496" s="208"/>
      <c r="B496" s="209" t="s">
        <v>2672</v>
      </c>
      <c r="C496" s="211" t="s">
        <v>1152</v>
      </c>
      <c r="D496" s="212">
        <v>15.79</v>
      </c>
      <c r="E496" s="212">
        <v>3.3</v>
      </c>
      <c r="F496" s="212" t="s">
        <v>341</v>
      </c>
      <c r="G496" s="212"/>
      <c r="I496" s="209"/>
      <c r="J496" s="209"/>
      <c r="K496" s="209"/>
    </row>
    <row r="497" spans="1:11">
      <c r="A497" s="208"/>
      <c r="B497" s="209" t="s">
        <v>2672</v>
      </c>
      <c r="C497" s="211" t="s">
        <v>1153</v>
      </c>
      <c r="D497" s="212">
        <v>7.22</v>
      </c>
      <c r="E497" s="212">
        <v>1.4</v>
      </c>
      <c r="F497" s="212" t="s">
        <v>2357</v>
      </c>
      <c r="G497" s="209"/>
      <c r="I497" s="209"/>
      <c r="J497" s="209"/>
      <c r="K497" s="209"/>
    </row>
    <row r="498" spans="1:11">
      <c r="A498" s="208"/>
      <c r="B498" s="209" t="s">
        <v>2672</v>
      </c>
      <c r="C498" s="211" t="s">
        <v>1154</v>
      </c>
      <c r="D498" s="212">
        <v>9.44</v>
      </c>
      <c r="E498" s="212">
        <v>1.61</v>
      </c>
      <c r="F498" s="212" t="s">
        <v>329</v>
      </c>
      <c r="G498" s="209"/>
      <c r="H498" s="215"/>
      <c r="I498" s="209"/>
      <c r="J498" s="209"/>
      <c r="K498" s="209"/>
    </row>
    <row r="499" spans="1:11">
      <c r="A499" s="208"/>
      <c r="B499" s="209" t="s">
        <v>2672</v>
      </c>
      <c r="C499" s="211" t="s">
        <v>1155</v>
      </c>
      <c r="D499" s="212">
        <v>19.739999999999998</v>
      </c>
      <c r="E499" s="212">
        <v>3.05</v>
      </c>
      <c r="F499" s="212" t="s">
        <v>341</v>
      </c>
      <c r="G499" s="209"/>
      <c r="I499" s="209"/>
      <c r="J499" s="209"/>
      <c r="K499" s="209"/>
    </row>
    <row r="500" spans="1:11">
      <c r="A500" s="208"/>
      <c r="B500" s="209" t="s">
        <v>2672</v>
      </c>
      <c r="C500" s="211" t="s">
        <v>1156</v>
      </c>
      <c r="D500" s="209" t="s">
        <v>2034</v>
      </c>
      <c r="E500" s="212">
        <v>1.75</v>
      </c>
      <c r="F500" s="212" t="s">
        <v>2340</v>
      </c>
      <c r="G500" s="209"/>
      <c r="I500" s="209"/>
      <c r="J500" s="209"/>
      <c r="K500" s="209"/>
    </row>
    <row r="501" spans="1:11">
      <c r="A501" s="208"/>
      <c r="B501" s="209" t="s">
        <v>2672</v>
      </c>
      <c r="C501" s="211" t="s">
        <v>5574</v>
      </c>
      <c r="D501" s="209" t="s">
        <v>5575</v>
      </c>
      <c r="E501" s="212" t="s">
        <v>407</v>
      </c>
      <c r="F501" s="212" t="s">
        <v>5467</v>
      </c>
      <c r="G501" s="209"/>
      <c r="I501" s="209"/>
      <c r="J501" s="209"/>
      <c r="K501" s="209"/>
    </row>
    <row r="502" spans="1:11">
      <c r="A502" s="208"/>
      <c r="B502" s="209" t="s">
        <v>2673</v>
      </c>
      <c r="C502" s="211" t="s">
        <v>1158</v>
      </c>
      <c r="D502" s="212">
        <v>10.4</v>
      </c>
      <c r="E502" s="212">
        <v>1.8</v>
      </c>
      <c r="F502" s="212" t="s">
        <v>332</v>
      </c>
      <c r="G502" s="209"/>
      <c r="I502" s="209"/>
      <c r="J502" s="209"/>
      <c r="K502" s="209"/>
    </row>
    <row r="503" spans="1:11">
      <c r="A503" s="208"/>
      <c r="B503" s="209" t="s">
        <v>2673</v>
      </c>
      <c r="C503" s="211" t="s">
        <v>1159</v>
      </c>
      <c r="D503" s="212">
        <v>10.81</v>
      </c>
      <c r="E503" s="212">
        <v>1.81</v>
      </c>
      <c r="F503" s="212" t="s">
        <v>2980</v>
      </c>
      <c r="G503" s="212"/>
      <c r="I503" s="209"/>
      <c r="J503" s="209"/>
      <c r="K503" s="209"/>
    </row>
    <row r="504" spans="1:11">
      <c r="A504" s="208"/>
      <c r="B504" s="209" t="s">
        <v>2673</v>
      </c>
      <c r="C504" s="211" t="s">
        <v>1160</v>
      </c>
      <c r="D504" s="209" t="s">
        <v>2036</v>
      </c>
      <c r="E504" s="212">
        <v>1.7</v>
      </c>
      <c r="F504" s="212" t="s">
        <v>324</v>
      </c>
      <c r="G504" s="209"/>
      <c r="I504" s="209"/>
      <c r="J504" s="209"/>
      <c r="K504" s="209"/>
    </row>
    <row r="505" spans="1:11">
      <c r="A505" s="208"/>
      <c r="B505" s="209" t="s">
        <v>2673</v>
      </c>
      <c r="C505" s="211" t="s">
        <v>1161</v>
      </c>
      <c r="D505" s="209" t="s">
        <v>2037</v>
      </c>
      <c r="E505" s="212">
        <v>1.65</v>
      </c>
      <c r="F505" s="212" t="s">
        <v>329</v>
      </c>
      <c r="G505" s="209"/>
      <c r="I505" s="209"/>
      <c r="J505" s="209"/>
      <c r="K505" s="209"/>
    </row>
    <row r="506" spans="1:11">
      <c r="A506" s="208"/>
      <c r="B506" s="209" t="s">
        <v>2673</v>
      </c>
      <c r="C506" s="211" t="s">
        <v>1162</v>
      </c>
      <c r="D506" s="212">
        <v>12.22</v>
      </c>
      <c r="E506" s="212">
        <v>1.95</v>
      </c>
      <c r="F506" s="212" t="s">
        <v>329</v>
      </c>
      <c r="G506" s="209"/>
      <c r="I506" s="209"/>
      <c r="J506" s="209"/>
      <c r="K506" s="209"/>
    </row>
    <row r="507" spans="1:11">
      <c r="A507" s="208"/>
      <c r="B507" s="209" t="s">
        <v>2673</v>
      </c>
      <c r="C507" s="211" t="s">
        <v>1163</v>
      </c>
      <c r="D507" s="209" t="s">
        <v>2038</v>
      </c>
      <c r="E507" s="212">
        <v>2.0499999999999998</v>
      </c>
      <c r="F507" s="212" t="s">
        <v>329</v>
      </c>
      <c r="G507" s="209"/>
      <c r="I507" s="209"/>
      <c r="J507" s="209"/>
      <c r="K507" s="209"/>
    </row>
    <row r="508" spans="1:11">
      <c r="A508" s="208"/>
      <c r="B508" s="209" t="s">
        <v>2673</v>
      </c>
      <c r="C508" s="211" t="s">
        <v>1164</v>
      </c>
      <c r="D508" s="212">
        <v>9.2799999999999994</v>
      </c>
      <c r="E508" s="212">
        <v>1.7</v>
      </c>
      <c r="F508" s="212" t="s">
        <v>306</v>
      </c>
      <c r="G508" s="209"/>
      <c r="I508" s="212"/>
      <c r="J508" s="212"/>
      <c r="K508" s="212"/>
    </row>
    <row r="509" spans="1:11">
      <c r="A509" s="208"/>
      <c r="B509" s="209" t="s">
        <v>2674</v>
      </c>
      <c r="C509" s="211" t="s">
        <v>1165</v>
      </c>
      <c r="D509" s="212">
        <v>11.01</v>
      </c>
      <c r="E509" s="212">
        <v>1.99</v>
      </c>
      <c r="F509" s="209" t="s">
        <v>2340</v>
      </c>
      <c r="G509" s="209"/>
      <c r="I509" s="212"/>
      <c r="J509" s="212"/>
      <c r="K509" s="212"/>
    </row>
    <row r="510" spans="1:11">
      <c r="A510" s="208"/>
      <c r="B510" s="209" t="s">
        <v>2674</v>
      </c>
      <c r="C510" s="211" t="s">
        <v>1166</v>
      </c>
      <c r="D510" s="209" t="s">
        <v>2039</v>
      </c>
      <c r="E510" s="212">
        <v>1.77</v>
      </c>
      <c r="F510" s="212" t="s">
        <v>2377</v>
      </c>
      <c r="G510" s="209"/>
      <c r="I510" s="212"/>
      <c r="J510" s="212"/>
      <c r="K510" s="212"/>
    </row>
    <row r="511" spans="1:11">
      <c r="A511" s="208"/>
      <c r="B511" s="209" t="s">
        <v>2675</v>
      </c>
      <c r="C511" s="211" t="s">
        <v>767</v>
      </c>
      <c r="D511" s="212">
        <v>10.1</v>
      </c>
      <c r="E511" s="212">
        <v>2.1</v>
      </c>
      <c r="F511" s="212" t="s">
        <v>310</v>
      </c>
      <c r="G511" s="209"/>
      <c r="I511" s="212"/>
      <c r="J511" s="212"/>
      <c r="K511" s="212"/>
    </row>
    <row r="512" spans="1:11">
      <c r="A512" s="208"/>
      <c r="B512" s="209" t="s">
        <v>2675</v>
      </c>
      <c r="C512" s="211" t="s">
        <v>5301</v>
      </c>
      <c r="D512" s="212" t="s">
        <v>5302</v>
      </c>
      <c r="E512" s="212" t="s">
        <v>5303</v>
      </c>
      <c r="F512" s="212" t="s">
        <v>4660</v>
      </c>
      <c r="G512" s="209"/>
      <c r="I512" s="212"/>
      <c r="J512" s="212"/>
      <c r="K512" s="209"/>
    </row>
    <row r="513" spans="1:11">
      <c r="A513" s="208"/>
      <c r="B513" s="209" t="s">
        <v>2675</v>
      </c>
      <c r="C513" s="211" t="s">
        <v>1167</v>
      </c>
      <c r="D513" s="212">
        <v>9.14</v>
      </c>
      <c r="E513" s="212">
        <v>1.8</v>
      </c>
      <c r="F513" s="212" t="s">
        <v>2340</v>
      </c>
      <c r="G513" s="209"/>
      <c r="I513" s="212"/>
      <c r="J513" s="212"/>
      <c r="K513" s="209"/>
    </row>
    <row r="514" spans="1:11">
      <c r="A514" s="208"/>
      <c r="B514" s="209" t="s">
        <v>2859</v>
      </c>
      <c r="C514" s="211" t="s">
        <v>1168</v>
      </c>
      <c r="D514" s="212">
        <v>10.130000000000001</v>
      </c>
      <c r="E514" s="212">
        <v>1.8</v>
      </c>
      <c r="F514" s="209" t="s">
        <v>310</v>
      </c>
      <c r="G514" s="209"/>
      <c r="I514" s="212"/>
      <c r="J514" s="212"/>
      <c r="K514" s="212"/>
    </row>
    <row r="515" spans="1:11">
      <c r="A515" s="208"/>
      <c r="B515" s="209" t="s">
        <v>2859</v>
      </c>
      <c r="C515" s="211" t="s">
        <v>1169</v>
      </c>
      <c r="D515" s="212">
        <v>10.130000000000001</v>
      </c>
      <c r="E515" s="212">
        <v>1.8</v>
      </c>
      <c r="F515" s="209" t="s">
        <v>311</v>
      </c>
      <c r="G515" s="209"/>
      <c r="I515" s="209"/>
      <c r="J515" s="209"/>
      <c r="K515" s="209"/>
    </row>
    <row r="516" spans="1:11">
      <c r="A516" s="208"/>
      <c r="B516" s="209" t="s">
        <v>2859</v>
      </c>
      <c r="C516" s="211" t="s">
        <v>1170</v>
      </c>
      <c r="D516" s="212">
        <v>11.25</v>
      </c>
      <c r="E516" s="212">
        <v>2</v>
      </c>
      <c r="F516" s="212" t="s">
        <v>321</v>
      </c>
      <c r="G516" s="209"/>
      <c r="I516" s="209"/>
      <c r="J516" s="209"/>
      <c r="K516" s="209"/>
    </row>
    <row r="517" spans="1:11">
      <c r="A517" s="208"/>
      <c r="B517" s="209" t="s">
        <v>2859</v>
      </c>
      <c r="C517" s="211" t="s">
        <v>1171</v>
      </c>
      <c r="D517" s="211">
        <v>12.52</v>
      </c>
      <c r="E517" s="212">
        <v>2.11</v>
      </c>
      <c r="F517" s="209" t="s">
        <v>310</v>
      </c>
      <c r="G517" s="209"/>
      <c r="I517" s="209"/>
      <c r="J517" s="209"/>
      <c r="K517" s="209"/>
    </row>
    <row r="518" spans="1:11">
      <c r="A518" s="208"/>
      <c r="B518" s="209" t="s">
        <v>2859</v>
      </c>
      <c r="C518" s="211" t="s">
        <v>1172</v>
      </c>
      <c r="D518" s="212">
        <v>13.1</v>
      </c>
      <c r="E518" s="212">
        <v>2.2000000000000002</v>
      </c>
      <c r="F518" s="209" t="s">
        <v>311</v>
      </c>
      <c r="G518" s="209"/>
      <c r="H518" s="215"/>
      <c r="I518" s="209"/>
      <c r="J518" s="209"/>
      <c r="K518" s="209"/>
    </row>
    <row r="519" spans="1:11">
      <c r="A519" s="208"/>
      <c r="B519" s="209" t="s">
        <v>2859</v>
      </c>
      <c r="C519" s="211" t="s">
        <v>1173</v>
      </c>
      <c r="D519" s="212">
        <v>14.01</v>
      </c>
      <c r="E519" s="212">
        <v>2.65</v>
      </c>
      <c r="F519" s="209" t="s">
        <v>2345</v>
      </c>
      <c r="G519" s="209"/>
      <c r="H519" s="215"/>
      <c r="I519" s="209"/>
      <c r="J519" s="209"/>
      <c r="K519" s="209"/>
    </row>
    <row r="520" spans="1:11">
      <c r="A520" s="208"/>
      <c r="B520" s="209" t="s">
        <v>2860</v>
      </c>
      <c r="C520" s="211" t="s">
        <v>2875</v>
      </c>
      <c r="D520" s="212">
        <v>9.0500000000000007</v>
      </c>
      <c r="E520" s="212">
        <v>1.46</v>
      </c>
      <c r="F520" s="212" t="s">
        <v>329</v>
      </c>
      <c r="G520" s="209"/>
      <c r="H520" s="215"/>
      <c r="I520" s="209"/>
      <c r="J520" s="209"/>
      <c r="K520" s="209"/>
    </row>
    <row r="521" spans="1:11">
      <c r="A521" s="208"/>
      <c r="B521" s="209" t="s">
        <v>2860</v>
      </c>
      <c r="C521" s="211" t="s">
        <v>4105</v>
      </c>
      <c r="D521" s="212">
        <v>9.5500000000000007</v>
      </c>
      <c r="E521" s="209" t="s">
        <v>305</v>
      </c>
      <c r="F521" s="212" t="s">
        <v>2370</v>
      </c>
      <c r="G521" s="209"/>
      <c r="H521" s="215"/>
      <c r="I521" s="209"/>
      <c r="J521" s="209"/>
      <c r="K521" s="209"/>
    </row>
    <row r="522" spans="1:11">
      <c r="A522" s="208"/>
      <c r="B522" s="209" t="s">
        <v>2860</v>
      </c>
      <c r="C522" s="211" t="s">
        <v>4106</v>
      </c>
      <c r="D522" s="212">
        <v>10.87</v>
      </c>
      <c r="E522" s="212">
        <v>1.81</v>
      </c>
      <c r="F522" s="212" t="s">
        <v>324</v>
      </c>
      <c r="G522" s="209"/>
      <c r="H522" s="215"/>
      <c r="I522" s="209"/>
      <c r="J522" s="209"/>
      <c r="K522" s="209"/>
    </row>
    <row r="523" spans="1:11">
      <c r="A523" s="208"/>
      <c r="B523" s="209" t="s">
        <v>2860</v>
      </c>
      <c r="C523" s="211" t="s">
        <v>4107</v>
      </c>
      <c r="D523" s="212">
        <v>11.85</v>
      </c>
      <c r="E523" s="212">
        <v>2</v>
      </c>
      <c r="F523" s="212" t="s">
        <v>2980</v>
      </c>
      <c r="G523" s="212"/>
      <c r="H523" s="215"/>
      <c r="I523" s="209"/>
      <c r="J523" s="209"/>
      <c r="K523" s="209"/>
    </row>
    <row r="524" spans="1:11">
      <c r="A524" s="208"/>
      <c r="B524" s="209" t="s">
        <v>2860</v>
      </c>
      <c r="C524" s="211" t="s">
        <v>2876</v>
      </c>
      <c r="D524" s="212">
        <v>12.15</v>
      </c>
      <c r="E524" s="212">
        <v>1.87</v>
      </c>
      <c r="F524" s="212" t="s">
        <v>2341</v>
      </c>
      <c r="G524" s="212"/>
      <c r="H524" s="215"/>
      <c r="I524" s="209"/>
      <c r="J524" s="209"/>
      <c r="K524" s="209"/>
    </row>
    <row r="525" spans="1:11">
      <c r="A525" s="208"/>
      <c r="B525" s="209" t="s">
        <v>2860</v>
      </c>
      <c r="C525" s="211" t="s">
        <v>4108</v>
      </c>
      <c r="D525" s="212">
        <v>12.15</v>
      </c>
      <c r="E525" s="212">
        <v>2.25</v>
      </c>
      <c r="F525" s="212" t="s">
        <v>2341</v>
      </c>
      <c r="G525" s="212"/>
      <c r="I525" s="209"/>
      <c r="J525" s="209"/>
      <c r="K525" s="209"/>
    </row>
    <row r="526" spans="1:11">
      <c r="A526" s="208"/>
      <c r="B526" s="209" t="s">
        <v>2860</v>
      </c>
      <c r="C526" s="211" t="s">
        <v>4109</v>
      </c>
      <c r="D526" s="209" t="s">
        <v>2062</v>
      </c>
      <c r="E526" s="212">
        <v>1.7</v>
      </c>
      <c r="F526" s="212" t="s">
        <v>2359</v>
      </c>
      <c r="G526" s="212"/>
      <c r="I526" s="209"/>
      <c r="J526" s="209"/>
      <c r="K526" s="209"/>
    </row>
    <row r="527" spans="1:11">
      <c r="A527" s="208"/>
      <c r="B527" s="209" t="s">
        <v>2860</v>
      </c>
      <c r="C527" s="211" t="s">
        <v>4110</v>
      </c>
      <c r="D527" s="212">
        <v>13.11</v>
      </c>
      <c r="E527" s="212">
        <v>2.19</v>
      </c>
      <c r="F527" s="212" t="s">
        <v>324</v>
      </c>
      <c r="G527" s="212"/>
      <c r="I527" s="209"/>
      <c r="J527" s="209"/>
      <c r="K527" s="209"/>
    </row>
    <row r="528" spans="1:11">
      <c r="A528" s="208"/>
      <c r="B528" s="209" t="s">
        <v>2860</v>
      </c>
      <c r="C528" s="211" t="s">
        <v>4111</v>
      </c>
      <c r="D528" s="212">
        <v>7.39</v>
      </c>
      <c r="E528" s="212">
        <v>1.5</v>
      </c>
      <c r="F528" s="212" t="s">
        <v>332</v>
      </c>
      <c r="G528" s="212"/>
      <c r="I528" s="209"/>
      <c r="J528" s="209"/>
      <c r="K528" s="209"/>
    </row>
    <row r="529" spans="1:11">
      <c r="A529" s="208"/>
      <c r="B529" s="209" t="s">
        <v>2860</v>
      </c>
      <c r="C529" s="211" t="s">
        <v>526</v>
      </c>
      <c r="D529" s="209" t="s">
        <v>527</v>
      </c>
      <c r="E529" s="209" t="s">
        <v>1684</v>
      </c>
      <c r="F529" s="209" t="s">
        <v>2353</v>
      </c>
      <c r="G529" s="212"/>
      <c r="I529" s="209"/>
      <c r="J529" s="209"/>
      <c r="K529" s="209"/>
    </row>
    <row r="530" spans="1:11">
      <c r="A530" s="208"/>
      <c r="B530" s="209" t="s">
        <v>2860</v>
      </c>
      <c r="C530" s="211" t="s">
        <v>4112</v>
      </c>
      <c r="D530" s="212">
        <v>9.0500000000000007</v>
      </c>
      <c r="E530" s="212">
        <v>1.7</v>
      </c>
      <c r="F530" s="212" t="s">
        <v>3508</v>
      </c>
      <c r="G530" s="209"/>
      <c r="I530" s="209"/>
      <c r="J530" s="209"/>
      <c r="K530" s="209"/>
    </row>
    <row r="531" spans="1:11">
      <c r="A531" s="208"/>
      <c r="B531" s="209" t="s">
        <v>2860</v>
      </c>
      <c r="C531" s="211" t="s">
        <v>4113</v>
      </c>
      <c r="D531" s="212">
        <v>7.89</v>
      </c>
      <c r="E531" s="212">
        <v>1.53</v>
      </c>
      <c r="F531" s="212" t="s">
        <v>2353</v>
      </c>
      <c r="G531" s="209"/>
      <c r="I531" s="209"/>
      <c r="J531" s="209"/>
      <c r="K531" s="209"/>
    </row>
    <row r="532" spans="1:11">
      <c r="A532" s="208"/>
      <c r="B532" s="209" t="s">
        <v>2861</v>
      </c>
      <c r="C532" s="211" t="s">
        <v>4672</v>
      </c>
      <c r="D532" s="209" t="s">
        <v>4673</v>
      </c>
      <c r="E532" s="209" t="s">
        <v>425</v>
      </c>
      <c r="F532" s="209" t="s">
        <v>4674</v>
      </c>
      <c r="G532" s="209"/>
      <c r="I532" s="209"/>
      <c r="J532" s="209"/>
      <c r="K532" s="209"/>
    </row>
    <row r="533" spans="1:11">
      <c r="A533" s="208"/>
      <c r="B533" s="209" t="s">
        <v>2861</v>
      </c>
      <c r="C533" s="211" t="s">
        <v>4677</v>
      </c>
      <c r="D533" s="209" t="s">
        <v>4673</v>
      </c>
      <c r="E533" s="209" t="s">
        <v>4676</v>
      </c>
      <c r="F533" s="209" t="s">
        <v>4674</v>
      </c>
      <c r="G533" s="209"/>
      <c r="I533" s="209"/>
      <c r="J533" s="209"/>
      <c r="K533" s="209"/>
    </row>
    <row r="534" spans="1:11">
      <c r="A534" s="208"/>
      <c r="B534" s="209" t="s">
        <v>2861</v>
      </c>
      <c r="C534" s="211" t="s">
        <v>4120</v>
      </c>
      <c r="D534" s="209" t="s">
        <v>2063</v>
      </c>
      <c r="E534" s="212">
        <v>1.98</v>
      </c>
      <c r="F534" s="212" t="s">
        <v>341</v>
      </c>
      <c r="G534" s="209"/>
      <c r="I534" s="209"/>
      <c r="J534" s="209"/>
      <c r="K534" s="209"/>
    </row>
    <row r="535" spans="1:11">
      <c r="A535" s="208"/>
      <c r="B535" s="209" t="s">
        <v>2861</v>
      </c>
      <c r="C535" s="211" t="s">
        <v>4121</v>
      </c>
      <c r="D535" s="209" t="s">
        <v>2063</v>
      </c>
      <c r="E535" s="212">
        <v>1.98</v>
      </c>
      <c r="F535" s="212" t="s">
        <v>341</v>
      </c>
      <c r="G535" s="209"/>
      <c r="I535" s="209"/>
      <c r="J535" s="209"/>
      <c r="K535" s="209"/>
    </row>
    <row r="536" spans="1:11">
      <c r="A536" s="208"/>
      <c r="B536" s="209" t="s">
        <v>2861</v>
      </c>
      <c r="C536" s="211" t="s">
        <v>4122</v>
      </c>
      <c r="D536" s="209" t="s">
        <v>2064</v>
      </c>
      <c r="E536" s="212">
        <v>1.8</v>
      </c>
      <c r="F536" s="212" t="s">
        <v>3508</v>
      </c>
      <c r="G536" s="209"/>
      <c r="I536" s="209"/>
      <c r="J536" s="209"/>
      <c r="K536" s="209"/>
    </row>
    <row r="537" spans="1:11">
      <c r="A537" s="208"/>
      <c r="B537" s="209" t="s">
        <v>2861</v>
      </c>
      <c r="C537" s="211" t="s">
        <v>4123</v>
      </c>
      <c r="D537" s="209" t="s">
        <v>1982</v>
      </c>
      <c r="E537" s="212">
        <v>2.0499999999999998</v>
      </c>
      <c r="F537" s="212" t="s">
        <v>2339</v>
      </c>
      <c r="G537" s="209"/>
      <c r="I537" s="209"/>
      <c r="J537" s="209"/>
      <c r="K537" s="209"/>
    </row>
    <row r="538" spans="1:11">
      <c r="A538" s="208"/>
      <c r="B538" s="209" t="s">
        <v>2861</v>
      </c>
      <c r="C538" s="211" t="s">
        <v>2878</v>
      </c>
      <c r="D538" s="209" t="s">
        <v>1982</v>
      </c>
      <c r="E538" s="212">
        <v>1.8</v>
      </c>
      <c r="F538" s="212" t="s">
        <v>2347</v>
      </c>
      <c r="G538" s="209"/>
      <c r="I538" s="209"/>
      <c r="J538" s="209"/>
      <c r="K538" s="209"/>
    </row>
    <row r="539" spans="1:11">
      <c r="A539" s="208"/>
      <c r="B539" s="209" t="s">
        <v>2861</v>
      </c>
      <c r="C539" s="211" t="s">
        <v>2877</v>
      </c>
      <c r="D539" s="209" t="s">
        <v>1982</v>
      </c>
      <c r="E539" s="212">
        <v>2.4</v>
      </c>
      <c r="F539" s="212" t="s">
        <v>2347</v>
      </c>
      <c r="G539" s="209"/>
      <c r="I539" s="209"/>
      <c r="J539" s="209"/>
      <c r="K539" s="209"/>
    </row>
    <row r="540" spans="1:11">
      <c r="A540" s="208"/>
      <c r="B540" s="209" t="s">
        <v>2861</v>
      </c>
      <c r="C540" s="211" t="s">
        <v>404</v>
      </c>
      <c r="D540" s="209" t="s">
        <v>1290</v>
      </c>
      <c r="E540" s="209" t="s">
        <v>405</v>
      </c>
      <c r="F540" s="209" t="s">
        <v>308</v>
      </c>
      <c r="G540" s="209"/>
      <c r="I540" s="212"/>
      <c r="J540" s="212"/>
      <c r="K540" s="212"/>
    </row>
    <row r="541" spans="1:11">
      <c r="A541" s="208"/>
      <c r="B541" s="209" t="s">
        <v>2861</v>
      </c>
      <c r="C541" s="211" t="s">
        <v>408</v>
      </c>
      <c r="D541" s="209" t="s">
        <v>1288</v>
      </c>
      <c r="E541" s="209" t="s">
        <v>406</v>
      </c>
      <c r="F541" s="209" t="s">
        <v>306</v>
      </c>
      <c r="G541" s="209"/>
      <c r="I541" s="212"/>
      <c r="J541" s="212"/>
      <c r="K541" s="212"/>
    </row>
    <row r="542" spans="1:11">
      <c r="A542" s="208"/>
      <c r="B542" s="209" t="s">
        <v>2861</v>
      </c>
      <c r="C542" s="211" t="s">
        <v>409</v>
      </c>
      <c r="D542" s="209" t="s">
        <v>1288</v>
      </c>
      <c r="E542" s="209" t="s">
        <v>407</v>
      </c>
      <c r="F542" s="209" t="s">
        <v>306</v>
      </c>
      <c r="G542" s="209"/>
      <c r="I542" s="212"/>
      <c r="J542" s="212"/>
      <c r="K542" s="212"/>
    </row>
    <row r="543" spans="1:11">
      <c r="A543" s="208"/>
      <c r="B543" s="209" t="s">
        <v>2861</v>
      </c>
      <c r="C543" s="211" t="s">
        <v>4620</v>
      </c>
      <c r="D543" s="209" t="s">
        <v>410</v>
      </c>
      <c r="E543" s="209" t="s">
        <v>411</v>
      </c>
      <c r="F543" s="209" t="s">
        <v>316</v>
      </c>
      <c r="G543" s="209"/>
      <c r="I543" s="209"/>
      <c r="J543" s="209"/>
      <c r="K543" s="209"/>
    </row>
    <row r="544" spans="1:11">
      <c r="A544" s="208"/>
      <c r="B544" s="209" t="s">
        <v>2861</v>
      </c>
      <c r="C544" s="211" t="s">
        <v>4621</v>
      </c>
      <c r="D544" s="209" t="s">
        <v>410</v>
      </c>
      <c r="E544" s="209" t="s">
        <v>411</v>
      </c>
      <c r="F544" s="209" t="s">
        <v>316</v>
      </c>
      <c r="G544" s="209"/>
      <c r="I544" s="212"/>
      <c r="J544" s="212"/>
      <c r="K544" s="212"/>
    </row>
    <row r="545" spans="1:11">
      <c r="A545" s="208"/>
      <c r="B545" s="209" t="s">
        <v>2861</v>
      </c>
      <c r="C545" s="211" t="s">
        <v>2879</v>
      </c>
      <c r="D545" s="209" t="s">
        <v>1983</v>
      </c>
      <c r="E545" s="212">
        <v>2.4</v>
      </c>
      <c r="F545" s="212" t="s">
        <v>343</v>
      </c>
      <c r="G545" s="209"/>
      <c r="I545" s="209"/>
      <c r="J545" s="209"/>
      <c r="K545" s="209"/>
    </row>
    <row r="546" spans="1:11">
      <c r="A546" s="208"/>
      <c r="B546" s="209" t="s">
        <v>2861</v>
      </c>
      <c r="C546" s="211" t="s">
        <v>2880</v>
      </c>
      <c r="D546" s="212">
        <v>12.12</v>
      </c>
      <c r="E546" s="212">
        <v>2.4</v>
      </c>
      <c r="F546" s="209" t="s">
        <v>2362</v>
      </c>
      <c r="G546" s="209"/>
      <c r="I546" s="209"/>
      <c r="J546" s="209"/>
      <c r="K546" s="209"/>
    </row>
    <row r="547" spans="1:11">
      <c r="A547" s="208"/>
      <c r="B547" s="209" t="s">
        <v>2861</v>
      </c>
      <c r="C547" s="211" t="s">
        <v>5578</v>
      </c>
      <c r="D547" s="212" t="s">
        <v>5580</v>
      </c>
      <c r="E547" s="212" t="s">
        <v>445</v>
      </c>
      <c r="F547" s="209" t="s">
        <v>5467</v>
      </c>
      <c r="G547" s="209"/>
      <c r="I547" s="209"/>
      <c r="J547" s="209"/>
      <c r="K547" s="209"/>
    </row>
    <row r="548" spans="1:11">
      <c r="A548" s="208"/>
      <c r="B548" s="209" t="s">
        <v>2861</v>
      </c>
      <c r="C548" s="211" t="s">
        <v>5579</v>
      </c>
      <c r="D548" s="212" t="s">
        <v>5580</v>
      </c>
      <c r="E548" s="212" t="s">
        <v>411</v>
      </c>
      <c r="F548" s="209" t="s">
        <v>5467</v>
      </c>
      <c r="G548" s="209"/>
      <c r="I548" s="209"/>
      <c r="J548" s="209"/>
      <c r="K548" s="209"/>
    </row>
    <row r="549" spans="1:11">
      <c r="A549" s="208"/>
      <c r="B549" s="209" t="s">
        <v>2861</v>
      </c>
      <c r="C549" s="211" t="s">
        <v>2881</v>
      </c>
      <c r="D549" s="209" t="s">
        <v>1983</v>
      </c>
      <c r="E549" s="212">
        <v>2.15</v>
      </c>
      <c r="F549" s="212" t="s">
        <v>343</v>
      </c>
      <c r="G549" s="209"/>
      <c r="I549" s="209"/>
      <c r="J549" s="209"/>
      <c r="K549" s="209"/>
    </row>
    <row r="550" spans="1:11">
      <c r="A550" s="208"/>
      <c r="B550" s="209" t="s">
        <v>2861</v>
      </c>
      <c r="C550" s="211" t="s">
        <v>2882</v>
      </c>
      <c r="D550" s="212">
        <v>12.18</v>
      </c>
      <c r="E550" s="212">
        <v>2.4300000000000002</v>
      </c>
      <c r="F550" s="212" t="s">
        <v>2377</v>
      </c>
      <c r="G550" s="209"/>
      <c r="H550" s="215"/>
      <c r="I550" s="209"/>
      <c r="J550" s="209"/>
      <c r="K550" s="209"/>
    </row>
    <row r="551" spans="1:11">
      <c r="A551" s="208"/>
      <c r="B551" s="209" t="s">
        <v>2861</v>
      </c>
      <c r="C551" s="211" t="s">
        <v>2883</v>
      </c>
      <c r="D551" s="209" t="s">
        <v>2065</v>
      </c>
      <c r="E551" s="212">
        <v>2.5499999999999998</v>
      </c>
      <c r="F551" s="212" t="s">
        <v>2345</v>
      </c>
      <c r="G551" s="209"/>
      <c r="H551" s="215"/>
      <c r="I551" s="209"/>
      <c r="J551" s="209"/>
      <c r="K551" s="209"/>
    </row>
    <row r="552" spans="1:11">
      <c r="A552" s="208"/>
      <c r="B552" s="209" t="s">
        <v>2861</v>
      </c>
      <c r="C552" s="211" t="s">
        <v>5610</v>
      </c>
      <c r="D552" s="209" t="s">
        <v>5611</v>
      </c>
      <c r="E552" s="212" t="s">
        <v>1650</v>
      </c>
      <c r="F552" s="212" t="s">
        <v>5297</v>
      </c>
      <c r="G552" s="209"/>
      <c r="H552" s="215"/>
      <c r="I552" s="212"/>
      <c r="J552" s="212"/>
      <c r="K552" s="212"/>
    </row>
    <row r="553" spans="1:11">
      <c r="A553" s="208"/>
      <c r="B553" s="209" t="s">
        <v>2861</v>
      </c>
      <c r="C553" s="211" t="s">
        <v>2884</v>
      </c>
      <c r="D553" s="209" t="s">
        <v>2066</v>
      </c>
      <c r="E553" s="212">
        <v>2.1</v>
      </c>
      <c r="F553" s="212" t="s">
        <v>2344</v>
      </c>
      <c r="G553" s="209"/>
      <c r="I553" s="212"/>
      <c r="J553" s="212"/>
      <c r="K553" s="212"/>
    </row>
    <row r="554" spans="1:11">
      <c r="A554" s="208"/>
      <c r="B554" s="209" t="s">
        <v>2861</v>
      </c>
      <c r="C554" s="211" t="s">
        <v>2885</v>
      </c>
      <c r="D554" s="212">
        <v>12.92</v>
      </c>
      <c r="E554" s="212">
        <v>2.5</v>
      </c>
      <c r="F554" s="212" t="s">
        <v>2347</v>
      </c>
      <c r="G554" s="209"/>
      <c r="H554" s="215"/>
      <c r="I554" s="209"/>
      <c r="J554" s="209"/>
      <c r="K554" s="209"/>
    </row>
    <row r="555" spans="1:11">
      <c r="A555" s="208"/>
      <c r="B555" s="209" t="s">
        <v>2861</v>
      </c>
      <c r="C555" s="211" t="s">
        <v>2886</v>
      </c>
      <c r="D555" s="212">
        <v>12.92</v>
      </c>
      <c r="E555" s="212">
        <v>2.7</v>
      </c>
      <c r="F555" s="212" t="s">
        <v>2347</v>
      </c>
      <c r="G555" s="212"/>
      <c r="I555" s="209"/>
      <c r="J555" s="209"/>
      <c r="K555" s="209"/>
    </row>
    <row r="556" spans="1:11">
      <c r="A556" s="208"/>
      <c r="B556" s="209" t="s">
        <v>2861</v>
      </c>
      <c r="C556" s="211" t="s">
        <v>2887</v>
      </c>
      <c r="D556" s="212">
        <v>13.1</v>
      </c>
      <c r="E556" s="212">
        <v>2.63</v>
      </c>
      <c r="F556" s="212" t="s">
        <v>310</v>
      </c>
      <c r="G556" s="212"/>
      <c r="I556" s="212"/>
      <c r="J556" s="212"/>
      <c r="K556" s="212"/>
    </row>
    <row r="557" spans="1:11">
      <c r="A557" s="208"/>
      <c r="B557" s="209" t="s">
        <v>2861</v>
      </c>
      <c r="C557" s="211" t="s">
        <v>5390</v>
      </c>
      <c r="D557" s="209" t="s">
        <v>5393</v>
      </c>
      <c r="E557" s="212" t="s">
        <v>411</v>
      </c>
      <c r="F557" s="212" t="s">
        <v>5394</v>
      </c>
      <c r="G557" s="212"/>
      <c r="I557" s="209"/>
      <c r="J557" s="209"/>
      <c r="K557" s="209"/>
    </row>
    <row r="558" spans="1:11">
      <c r="A558" s="208"/>
      <c r="B558" s="209" t="s">
        <v>2861</v>
      </c>
      <c r="C558" s="211" t="s">
        <v>5387</v>
      </c>
      <c r="D558" s="209" t="s">
        <v>5393</v>
      </c>
      <c r="E558" s="212" t="s">
        <v>411</v>
      </c>
      <c r="F558" s="212" t="s">
        <v>5394</v>
      </c>
      <c r="G558" s="209"/>
      <c r="I558" s="209"/>
      <c r="J558" s="209"/>
      <c r="K558" s="209"/>
    </row>
    <row r="559" spans="1:11">
      <c r="A559" s="208"/>
      <c r="B559" s="209" t="s">
        <v>2861</v>
      </c>
      <c r="C559" s="211" t="s">
        <v>5388</v>
      </c>
      <c r="D559" s="209" t="s">
        <v>5393</v>
      </c>
      <c r="E559" s="212" t="s">
        <v>454</v>
      </c>
      <c r="F559" s="212" t="s">
        <v>5394</v>
      </c>
      <c r="G559" s="212"/>
      <c r="I559" s="209"/>
      <c r="J559" s="209"/>
      <c r="K559" s="209"/>
    </row>
    <row r="560" spans="1:11">
      <c r="A560" s="208"/>
      <c r="B560" s="209" t="s">
        <v>2861</v>
      </c>
      <c r="C560" s="211" t="s">
        <v>5391</v>
      </c>
      <c r="D560" s="209" t="s">
        <v>5393</v>
      </c>
      <c r="E560" s="212" t="s">
        <v>454</v>
      </c>
      <c r="F560" s="212" t="s">
        <v>5394</v>
      </c>
      <c r="G560" s="209"/>
      <c r="I560" s="209"/>
      <c r="J560" s="209"/>
      <c r="K560" s="209"/>
    </row>
    <row r="561" spans="1:11">
      <c r="A561" s="208"/>
      <c r="B561" s="209" t="s">
        <v>2861</v>
      </c>
      <c r="C561" s="211" t="s">
        <v>5389</v>
      </c>
      <c r="D561" s="209" t="s">
        <v>5393</v>
      </c>
      <c r="E561" s="212" t="s">
        <v>5395</v>
      </c>
      <c r="F561" s="212" t="s">
        <v>5394</v>
      </c>
      <c r="G561" s="209"/>
      <c r="I561" s="209"/>
      <c r="J561" s="209"/>
      <c r="K561" s="209"/>
    </row>
    <row r="562" spans="1:11">
      <c r="A562" s="208"/>
      <c r="B562" s="209" t="s">
        <v>2861</v>
      </c>
      <c r="C562" s="211" t="s">
        <v>5392</v>
      </c>
      <c r="D562" s="209" t="s">
        <v>5393</v>
      </c>
      <c r="E562" s="212" t="s">
        <v>5395</v>
      </c>
      <c r="F562" s="212" t="s">
        <v>5394</v>
      </c>
      <c r="G562" s="209"/>
      <c r="H562" s="215"/>
      <c r="I562" s="212"/>
      <c r="J562" s="212"/>
      <c r="K562" s="212"/>
    </row>
    <row r="563" spans="1:11">
      <c r="A563" s="208"/>
      <c r="B563" s="209" t="s">
        <v>2861</v>
      </c>
      <c r="C563" s="211" t="s">
        <v>2888</v>
      </c>
      <c r="D563" s="212">
        <v>13.55</v>
      </c>
      <c r="E563" s="212">
        <v>2.2999999999999998</v>
      </c>
      <c r="F563" s="212" t="s">
        <v>2345</v>
      </c>
      <c r="G563" s="209"/>
      <c r="H563" s="215"/>
      <c r="I563" s="212"/>
      <c r="J563" s="212"/>
      <c r="K563" s="212"/>
    </row>
    <row r="564" spans="1:11">
      <c r="A564" s="208"/>
      <c r="B564" s="209" t="s">
        <v>2861</v>
      </c>
      <c r="C564" s="211" t="s">
        <v>2889</v>
      </c>
      <c r="D564" s="209" t="s">
        <v>2067</v>
      </c>
      <c r="E564" s="212">
        <v>2.2000000000000002</v>
      </c>
      <c r="F564" s="212" t="s">
        <v>329</v>
      </c>
      <c r="G564" s="209"/>
      <c r="I564" s="212"/>
      <c r="J564" s="212"/>
      <c r="K564" s="212"/>
    </row>
    <row r="565" spans="1:11">
      <c r="A565" s="208"/>
      <c r="B565" s="209" t="s">
        <v>2861</v>
      </c>
      <c r="C565" s="211" t="s">
        <v>2890</v>
      </c>
      <c r="D565" s="212">
        <v>13.55</v>
      </c>
      <c r="E565" s="212">
        <v>2.7</v>
      </c>
      <c r="F565" s="212" t="s">
        <v>2345</v>
      </c>
      <c r="G565" s="209"/>
      <c r="I565" s="209"/>
      <c r="J565" s="209"/>
      <c r="K565" s="209"/>
    </row>
    <row r="566" spans="1:11">
      <c r="A566" s="208"/>
      <c r="B566" s="209" t="s">
        <v>2861</v>
      </c>
      <c r="C566" s="211" t="s">
        <v>2892</v>
      </c>
      <c r="D566" s="212">
        <v>14.08</v>
      </c>
      <c r="E566" s="212">
        <v>2.5499999999999998</v>
      </c>
      <c r="F566" s="209" t="s">
        <v>311</v>
      </c>
      <c r="G566" s="209"/>
      <c r="H566" s="215"/>
      <c r="I566" s="209"/>
      <c r="J566" s="209"/>
      <c r="K566" s="209"/>
    </row>
    <row r="567" spans="1:11">
      <c r="A567" s="208"/>
      <c r="B567" s="209" t="s">
        <v>2861</v>
      </c>
      <c r="C567" s="211" t="s">
        <v>2891</v>
      </c>
      <c r="D567" s="212">
        <v>14.08</v>
      </c>
      <c r="E567" s="212">
        <v>2.99</v>
      </c>
      <c r="F567" s="209" t="s">
        <v>311</v>
      </c>
      <c r="G567" s="212"/>
      <c r="I567" s="209"/>
      <c r="J567" s="209"/>
      <c r="K567" s="209"/>
    </row>
    <row r="568" spans="1:11">
      <c r="A568" s="208"/>
      <c r="B568" s="209" t="s">
        <v>2861</v>
      </c>
      <c r="C568" s="211" t="s">
        <v>2893</v>
      </c>
      <c r="D568" s="212">
        <v>13.98</v>
      </c>
      <c r="E568" s="212">
        <v>2.23</v>
      </c>
      <c r="F568" s="212" t="s">
        <v>2344</v>
      </c>
      <c r="G568" s="212"/>
      <c r="I568" s="209"/>
      <c r="J568" s="209"/>
      <c r="K568" s="209"/>
    </row>
    <row r="569" spans="1:11">
      <c r="A569" s="208"/>
      <c r="B569" s="209" t="s">
        <v>2861</v>
      </c>
      <c r="C569" s="211" t="s">
        <v>2894</v>
      </c>
      <c r="D569" s="209" t="s">
        <v>2068</v>
      </c>
      <c r="E569" s="212">
        <v>2.16</v>
      </c>
      <c r="F569" s="212" t="s">
        <v>353</v>
      </c>
      <c r="G569" s="209"/>
      <c r="I569" s="212"/>
      <c r="J569" s="212"/>
      <c r="K569" s="212"/>
    </row>
    <row r="570" spans="1:11">
      <c r="A570" s="208"/>
      <c r="B570" s="209" t="s">
        <v>2861</v>
      </c>
      <c r="C570" s="211" t="s">
        <v>412</v>
      </c>
      <c r="D570" s="209" t="s">
        <v>2068</v>
      </c>
      <c r="E570" s="209" t="s">
        <v>413</v>
      </c>
      <c r="F570" s="209" t="s">
        <v>2345</v>
      </c>
      <c r="G570" s="209"/>
      <c r="I570" s="209"/>
      <c r="J570" s="209"/>
      <c r="K570" s="209"/>
    </row>
    <row r="571" spans="1:11">
      <c r="A571" s="208"/>
      <c r="B571" s="209" t="s">
        <v>2861</v>
      </c>
      <c r="C571" s="211" t="s">
        <v>414</v>
      </c>
      <c r="D571" s="209" t="s">
        <v>415</v>
      </c>
      <c r="E571" s="209" t="s">
        <v>416</v>
      </c>
      <c r="F571" s="209" t="s">
        <v>311</v>
      </c>
      <c r="G571" s="212"/>
      <c r="I571" s="209"/>
      <c r="J571" s="209"/>
      <c r="K571" s="209"/>
    </row>
    <row r="572" spans="1:11">
      <c r="A572" s="208"/>
      <c r="B572" s="209" t="s">
        <v>2861</v>
      </c>
      <c r="C572" s="211" t="s">
        <v>419</v>
      </c>
      <c r="D572" s="209" t="s">
        <v>418</v>
      </c>
      <c r="E572" s="209" t="s">
        <v>417</v>
      </c>
      <c r="F572" s="209" t="s">
        <v>310</v>
      </c>
      <c r="G572" s="209"/>
      <c r="H572" s="215"/>
      <c r="I572" s="209"/>
      <c r="J572" s="209"/>
      <c r="K572" s="209"/>
    </row>
    <row r="573" spans="1:11">
      <c r="A573" s="208"/>
      <c r="B573" s="209" t="s">
        <v>2861</v>
      </c>
      <c r="C573" s="211" t="s">
        <v>4622</v>
      </c>
      <c r="D573" s="209" t="s">
        <v>4623</v>
      </c>
      <c r="E573" s="209" t="s">
        <v>4624</v>
      </c>
      <c r="F573" s="209" t="s">
        <v>2083</v>
      </c>
      <c r="G573" s="209"/>
      <c r="H573" s="215"/>
      <c r="I573" s="212"/>
      <c r="J573" s="212"/>
      <c r="K573" s="209"/>
    </row>
    <row r="574" spans="1:11">
      <c r="A574" s="208"/>
      <c r="B574" s="209" t="s">
        <v>2862</v>
      </c>
      <c r="C574" s="211" t="s">
        <v>4127</v>
      </c>
      <c r="D574" s="209" t="s">
        <v>2069</v>
      </c>
      <c r="E574" s="212">
        <v>1.6</v>
      </c>
      <c r="F574" s="212" t="s">
        <v>326</v>
      </c>
      <c r="G574" s="209"/>
      <c r="H574" s="215"/>
      <c r="I574" s="209"/>
      <c r="J574" s="209"/>
      <c r="K574" s="209"/>
    </row>
    <row r="575" spans="1:11">
      <c r="A575" s="208"/>
      <c r="B575" s="209" t="s">
        <v>2862</v>
      </c>
      <c r="C575" s="211" t="s">
        <v>4128</v>
      </c>
      <c r="D575" s="212">
        <v>9.6199999999999992</v>
      </c>
      <c r="E575" s="212">
        <v>1.71</v>
      </c>
      <c r="F575" s="212" t="s">
        <v>3539</v>
      </c>
      <c r="G575" s="209"/>
      <c r="I575" s="209"/>
      <c r="J575" s="209"/>
      <c r="K575" s="209"/>
    </row>
    <row r="576" spans="1:11">
      <c r="A576" s="208"/>
      <c r="B576" s="209" t="s">
        <v>2862</v>
      </c>
      <c r="C576" s="211" t="s">
        <v>4129</v>
      </c>
      <c r="D576" s="209" t="s">
        <v>2070</v>
      </c>
      <c r="E576" s="212">
        <v>1.85</v>
      </c>
      <c r="F576" s="212" t="s">
        <v>308</v>
      </c>
      <c r="G576" s="209"/>
      <c r="I576" s="212"/>
      <c r="J576" s="212"/>
      <c r="K576" s="212"/>
    </row>
    <row r="577" spans="1:11">
      <c r="A577" s="208"/>
      <c r="B577" s="209" t="s">
        <v>2862</v>
      </c>
      <c r="C577" s="211" t="s">
        <v>4130</v>
      </c>
      <c r="D577" s="212">
        <v>10.54</v>
      </c>
      <c r="E577" s="212">
        <v>1.63</v>
      </c>
      <c r="F577" s="212" t="s">
        <v>2372</v>
      </c>
      <c r="G577" s="212"/>
      <c r="I577" s="209"/>
      <c r="J577" s="209"/>
      <c r="K577" s="209"/>
    </row>
    <row r="578" spans="1:11">
      <c r="A578" s="208"/>
      <c r="B578" s="209" t="s">
        <v>2862</v>
      </c>
      <c r="C578" s="211" t="s">
        <v>4131</v>
      </c>
      <c r="D578" s="209" t="s">
        <v>2071</v>
      </c>
      <c r="E578" s="212">
        <v>1.7</v>
      </c>
      <c r="F578" s="212" t="s">
        <v>310</v>
      </c>
      <c r="G578" s="212"/>
      <c r="I578" s="212"/>
      <c r="J578" s="212"/>
      <c r="K578" s="212"/>
    </row>
    <row r="579" spans="1:11">
      <c r="A579" s="208"/>
      <c r="B579" s="209" t="s">
        <v>2862</v>
      </c>
      <c r="C579" s="211" t="s">
        <v>4132</v>
      </c>
      <c r="D579" s="212">
        <v>11.45</v>
      </c>
      <c r="E579" s="212">
        <v>1.9</v>
      </c>
      <c r="F579" s="209" t="s">
        <v>321</v>
      </c>
      <c r="G579" s="212"/>
      <c r="H579" s="215"/>
      <c r="I579" s="209"/>
      <c r="J579" s="209"/>
      <c r="K579" s="209"/>
    </row>
    <row r="580" spans="1:11">
      <c r="A580" s="208"/>
      <c r="B580" s="209" t="s">
        <v>2862</v>
      </c>
      <c r="C580" s="211" t="s">
        <v>4133</v>
      </c>
      <c r="D580" s="209" t="s">
        <v>2072</v>
      </c>
      <c r="E580" s="212">
        <v>1.85</v>
      </c>
      <c r="F580" s="212" t="s">
        <v>308</v>
      </c>
      <c r="G580" s="209"/>
      <c r="I580" s="212"/>
      <c r="J580" s="212"/>
      <c r="K580" s="212"/>
    </row>
    <row r="581" spans="1:11">
      <c r="A581" s="208"/>
      <c r="B581" s="209" t="s">
        <v>2862</v>
      </c>
      <c r="C581" s="211" t="s">
        <v>4134</v>
      </c>
      <c r="D581" s="209" t="s">
        <v>2073</v>
      </c>
      <c r="E581" s="212">
        <v>2.0499999999999998</v>
      </c>
      <c r="F581" s="212" t="s">
        <v>2370</v>
      </c>
      <c r="G581" s="209"/>
      <c r="I581" s="209"/>
      <c r="J581" s="209"/>
      <c r="K581" s="209"/>
    </row>
    <row r="582" spans="1:11">
      <c r="A582" s="208"/>
      <c r="B582" s="209" t="s">
        <v>2862</v>
      </c>
      <c r="C582" s="211" t="s">
        <v>4135</v>
      </c>
      <c r="D582" s="209" t="s">
        <v>2074</v>
      </c>
      <c r="E582" s="212">
        <v>2</v>
      </c>
      <c r="F582" s="209" t="s">
        <v>310</v>
      </c>
      <c r="G582" s="209"/>
      <c r="I582" s="209"/>
      <c r="J582" s="209"/>
      <c r="K582" s="209"/>
    </row>
    <row r="583" spans="1:11">
      <c r="A583" s="208"/>
      <c r="B583" s="209" t="s">
        <v>2862</v>
      </c>
      <c r="C583" s="211" t="s">
        <v>4136</v>
      </c>
      <c r="D583" s="212">
        <v>14.67</v>
      </c>
      <c r="E583" s="212">
        <v>1.88</v>
      </c>
      <c r="F583" s="212" t="s">
        <v>2341</v>
      </c>
      <c r="G583" s="209"/>
      <c r="H583" s="215"/>
      <c r="I583" s="209"/>
      <c r="J583" s="209"/>
      <c r="K583" s="209"/>
    </row>
    <row r="584" spans="1:11">
      <c r="A584" s="208"/>
      <c r="B584" s="209" t="s">
        <v>2862</v>
      </c>
      <c r="C584" s="211" t="s">
        <v>4137</v>
      </c>
      <c r="D584" s="212">
        <v>14.99</v>
      </c>
      <c r="E584" s="212">
        <v>2.35</v>
      </c>
      <c r="F584" s="209" t="s">
        <v>2362</v>
      </c>
      <c r="G584" s="212"/>
      <c r="I584" s="209"/>
      <c r="J584" s="209"/>
      <c r="K584" s="209"/>
    </row>
    <row r="585" spans="1:11">
      <c r="A585" s="208"/>
      <c r="B585" s="209" t="s">
        <v>2862</v>
      </c>
      <c r="C585" s="211" t="s">
        <v>4138</v>
      </c>
      <c r="D585" s="212">
        <v>14.96</v>
      </c>
      <c r="E585" s="212">
        <v>2.2000000000000002</v>
      </c>
      <c r="F585" s="212" t="s">
        <v>3508</v>
      </c>
      <c r="G585" s="209"/>
      <c r="I585" s="209"/>
      <c r="J585" s="209"/>
      <c r="K585" s="209"/>
    </row>
    <row r="586" spans="1:11">
      <c r="A586" s="208"/>
      <c r="B586" s="209" t="s">
        <v>2862</v>
      </c>
      <c r="C586" s="211" t="s">
        <v>4139</v>
      </c>
      <c r="D586" s="212">
        <v>16.440000000000001</v>
      </c>
      <c r="E586" s="212">
        <v>2.29</v>
      </c>
      <c r="F586" s="209" t="s">
        <v>319</v>
      </c>
      <c r="G586" s="209"/>
      <c r="H586" s="215"/>
      <c r="I586" s="209"/>
      <c r="J586" s="209"/>
      <c r="K586" s="209"/>
    </row>
    <row r="587" spans="1:11">
      <c r="A587" s="208"/>
      <c r="B587" s="209" t="s">
        <v>2862</v>
      </c>
      <c r="C587" s="211" t="s">
        <v>4140</v>
      </c>
      <c r="D587" s="212">
        <v>10.18</v>
      </c>
      <c r="E587" s="212">
        <v>1.47</v>
      </c>
      <c r="F587" s="212" t="s">
        <v>313</v>
      </c>
      <c r="G587" s="209"/>
      <c r="I587" s="212"/>
      <c r="J587" s="212"/>
      <c r="K587" s="212"/>
    </row>
    <row r="588" spans="1:11">
      <c r="A588" s="208"/>
      <c r="B588" s="209" t="s">
        <v>2863</v>
      </c>
      <c r="C588" s="211" t="s">
        <v>4141</v>
      </c>
      <c r="D588" s="212">
        <v>8.9</v>
      </c>
      <c r="E588" s="212">
        <v>1.55</v>
      </c>
      <c r="F588" s="212" t="s">
        <v>306</v>
      </c>
      <c r="G588" s="212"/>
      <c r="H588" s="215"/>
      <c r="I588" s="212"/>
      <c r="J588" s="212"/>
      <c r="K588" s="212"/>
    </row>
    <row r="589" spans="1:11">
      <c r="A589" s="208"/>
      <c r="B589" s="209" t="s">
        <v>2863</v>
      </c>
      <c r="C589" s="211" t="s">
        <v>4142</v>
      </c>
      <c r="D589" s="212">
        <v>8.99</v>
      </c>
      <c r="E589" s="212">
        <v>1.68</v>
      </c>
      <c r="F589" s="212" t="s">
        <v>306</v>
      </c>
      <c r="G589" s="209"/>
      <c r="I589" s="209"/>
      <c r="J589" s="209"/>
      <c r="K589" s="209"/>
    </row>
    <row r="590" spans="1:11">
      <c r="A590" s="208"/>
      <c r="B590" s="209" t="s">
        <v>2863</v>
      </c>
      <c r="C590" s="211" t="s">
        <v>2898</v>
      </c>
      <c r="D590" s="212">
        <v>9.4499999999999993</v>
      </c>
      <c r="E590" s="212">
        <v>1.4</v>
      </c>
      <c r="F590" s="212" t="s">
        <v>343</v>
      </c>
      <c r="G590" s="209"/>
      <c r="H590" s="215"/>
      <c r="I590" s="209"/>
      <c r="J590" s="209"/>
      <c r="K590" s="209"/>
    </row>
    <row r="591" spans="1:11">
      <c r="A591" s="208"/>
      <c r="B591" s="209" t="s">
        <v>2863</v>
      </c>
      <c r="C591" s="211" t="s">
        <v>2897</v>
      </c>
      <c r="D591" s="212">
        <v>9.4499999999999993</v>
      </c>
      <c r="E591" s="212">
        <v>1.75</v>
      </c>
      <c r="F591" s="209" t="s">
        <v>343</v>
      </c>
      <c r="G591" s="212"/>
      <c r="I591" s="209"/>
      <c r="J591" s="209"/>
      <c r="K591" s="209"/>
    </row>
    <row r="592" spans="1:11">
      <c r="A592" s="208"/>
      <c r="B592" s="209" t="s">
        <v>2863</v>
      </c>
      <c r="C592" s="211" t="s">
        <v>420</v>
      </c>
      <c r="D592" s="209" t="s">
        <v>2028</v>
      </c>
      <c r="E592" s="209" t="s">
        <v>421</v>
      </c>
      <c r="F592" s="209" t="s">
        <v>2362</v>
      </c>
      <c r="G592" s="209"/>
      <c r="I592" s="209"/>
      <c r="J592" s="209"/>
      <c r="K592" s="209"/>
    </row>
    <row r="593" spans="1:11">
      <c r="A593" s="208"/>
      <c r="B593" s="209" t="s">
        <v>2863</v>
      </c>
      <c r="C593" s="211" t="s">
        <v>4143</v>
      </c>
      <c r="D593" s="212">
        <v>9.5500000000000007</v>
      </c>
      <c r="E593" s="212">
        <v>1.84</v>
      </c>
      <c r="F593" s="209" t="s">
        <v>311</v>
      </c>
      <c r="G593" s="212"/>
      <c r="I593" s="209"/>
      <c r="J593" s="209"/>
      <c r="K593" s="209"/>
    </row>
    <row r="594" spans="1:11">
      <c r="A594" s="208"/>
      <c r="B594" s="209" t="s">
        <v>2863</v>
      </c>
      <c r="C594" s="211" t="s">
        <v>4144</v>
      </c>
      <c r="D594" s="212">
        <v>10.08</v>
      </c>
      <c r="E594" s="212">
        <v>1.75</v>
      </c>
      <c r="F594" s="212" t="s">
        <v>3539</v>
      </c>
      <c r="G594" s="209"/>
      <c r="I594" s="212"/>
      <c r="J594" s="212"/>
      <c r="K594" s="212"/>
    </row>
    <row r="595" spans="1:11">
      <c r="A595" s="208"/>
      <c r="B595" s="209" t="s">
        <v>2863</v>
      </c>
      <c r="C595" s="211" t="s">
        <v>4145</v>
      </c>
      <c r="D595" s="212">
        <v>10.35</v>
      </c>
      <c r="E595" s="212">
        <v>1.75</v>
      </c>
      <c r="F595" s="212" t="s">
        <v>321</v>
      </c>
      <c r="G595" s="212"/>
      <c r="I595" s="209"/>
      <c r="J595" s="209"/>
      <c r="K595" s="209"/>
    </row>
    <row r="596" spans="1:11">
      <c r="A596" s="208"/>
      <c r="B596" s="209" t="s">
        <v>2863</v>
      </c>
      <c r="C596" s="211" t="s">
        <v>4146</v>
      </c>
      <c r="D596" s="212">
        <v>10.35</v>
      </c>
      <c r="E596" s="212">
        <v>1.85</v>
      </c>
      <c r="F596" s="209" t="s">
        <v>321</v>
      </c>
      <c r="G596" s="209"/>
      <c r="I596" s="209"/>
      <c r="J596" s="209"/>
      <c r="K596" s="209"/>
    </row>
    <row r="597" spans="1:11">
      <c r="A597" s="208"/>
      <c r="B597" s="209" t="s">
        <v>2863</v>
      </c>
      <c r="C597" s="211" t="s">
        <v>4147</v>
      </c>
      <c r="D597" s="212">
        <v>10.5</v>
      </c>
      <c r="E597" s="212">
        <v>1.92</v>
      </c>
      <c r="F597" s="209" t="s">
        <v>2348</v>
      </c>
      <c r="G597" s="209"/>
      <c r="I597" s="209"/>
      <c r="J597" s="209"/>
      <c r="K597" s="209"/>
    </row>
    <row r="598" spans="1:11">
      <c r="A598" s="208"/>
      <c r="B598" s="209" t="s">
        <v>2863</v>
      </c>
      <c r="C598" s="211" t="s">
        <v>4148</v>
      </c>
      <c r="D598" s="212">
        <v>11.25</v>
      </c>
      <c r="E598" s="212">
        <v>1.95</v>
      </c>
      <c r="F598" s="209" t="s">
        <v>2347</v>
      </c>
      <c r="G598" s="209"/>
      <c r="H598" s="215"/>
      <c r="I598" s="212"/>
      <c r="J598" s="212"/>
      <c r="K598" s="212"/>
    </row>
    <row r="599" spans="1:11">
      <c r="A599" s="208"/>
      <c r="B599" s="209" t="s">
        <v>2863</v>
      </c>
      <c r="C599" s="211" t="s">
        <v>4149</v>
      </c>
      <c r="D599" s="212">
        <v>11.25</v>
      </c>
      <c r="E599" s="212">
        <v>1.95</v>
      </c>
      <c r="F599" s="209" t="s">
        <v>2347</v>
      </c>
      <c r="G599" s="209"/>
      <c r="I599" s="212"/>
      <c r="J599" s="212"/>
      <c r="K599" s="212"/>
    </row>
    <row r="600" spans="1:11">
      <c r="A600" s="208"/>
      <c r="B600" s="209" t="s">
        <v>2863</v>
      </c>
      <c r="C600" s="211" t="s">
        <v>1574</v>
      </c>
      <c r="D600" s="212">
        <v>11.25</v>
      </c>
      <c r="E600" s="212">
        <v>1.69</v>
      </c>
      <c r="F600" s="212" t="s">
        <v>341</v>
      </c>
      <c r="G600" s="209"/>
      <c r="I600" s="209"/>
      <c r="J600" s="209"/>
      <c r="K600" s="209"/>
    </row>
    <row r="601" spans="1:11">
      <c r="A601" s="208"/>
      <c r="B601" s="209" t="s">
        <v>2863</v>
      </c>
      <c r="C601" s="211" t="s">
        <v>2899</v>
      </c>
      <c r="D601" s="212">
        <v>11.25</v>
      </c>
      <c r="E601" s="212">
        <v>1.98</v>
      </c>
      <c r="F601" s="212" t="s">
        <v>341</v>
      </c>
      <c r="G601" s="209"/>
      <c r="I601" s="209"/>
      <c r="J601" s="209"/>
      <c r="K601" s="209"/>
    </row>
    <row r="602" spans="1:11">
      <c r="A602" s="208"/>
      <c r="B602" s="209" t="s">
        <v>2863</v>
      </c>
      <c r="C602" s="211" t="s">
        <v>4150</v>
      </c>
      <c r="D602" s="212">
        <v>11.25</v>
      </c>
      <c r="E602" s="209" t="s">
        <v>305</v>
      </c>
      <c r="F602" s="212" t="s">
        <v>341</v>
      </c>
      <c r="G602" s="212"/>
      <c r="I602" s="209"/>
      <c r="J602" s="209"/>
      <c r="K602" s="209"/>
    </row>
    <row r="603" spans="1:11">
      <c r="A603" s="208"/>
      <c r="B603" s="209" t="s">
        <v>2863</v>
      </c>
      <c r="C603" s="211" t="s">
        <v>4151</v>
      </c>
      <c r="D603" s="212">
        <v>11.35</v>
      </c>
      <c r="E603" s="212">
        <v>1.75</v>
      </c>
      <c r="F603" s="209" t="s">
        <v>316</v>
      </c>
      <c r="G603" s="212"/>
      <c r="I603" s="209"/>
      <c r="J603" s="209"/>
      <c r="K603" s="209"/>
    </row>
    <row r="604" spans="1:11">
      <c r="A604" s="208"/>
      <c r="B604" s="209" t="s">
        <v>2863</v>
      </c>
      <c r="C604" s="211" t="s">
        <v>1575</v>
      </c>
      <c r="D604" s="212">
        <v>11.99</v>
      </c>
      <c r="E604" s="212">
        <v>1.96</v>
      </c>
      <c r="F604" s="209" t="s">
        <v>2347</v>
      </c>
      <c r="G604" s="209"/>
      <c r="H604" s="215"/>
      <c r="I604" s="209"/>
      <c r="J604" s="209"/>
      <c r="K604" s="209"/>
    </row>
    <row r="605" spans="1:11">
      <c r="A605" s="208"/>
      <c r="B605" s="209" t="s">
        <v>2863</v>
      </c>
      <c r="C605" s="211" t="s">
        <v>1576</v>
      </c>
      <c r="D605" s="212">
        <v>11.99</v>
      </c>
      <c r="E605" s="212">
        <v>2.0499999999999998</v>
      </c>
      <c r="F605" s="209" t="s">
        <v>2347</v>
      </c>
      <c r="G605" s="209"/>
      <c r="I605" s="212"/>
      <c r="J605" s="212"/>
      <c r="K605" s="212"/>
    </row>
    <row r="606" spans="1:11">
      <c r="A606" s="208" t="s">
        <v>2342</v>
      </c>
      <c r="B606" s="209" t="s">
        <v>2863</v>
      </c>
      <c r="C606" s="211" t="s">
        <v>4152</v>
      </c>
      <c r="D606" s="212">
        <v>11.98</v>
      </c>
      <c r="E606" s="212">
        <v>1.98</v>
      </c>
      <c r="F606" s="212" t="s">
        <v>2344</v>
      </c>
      <c r="G606" s="209"/>
      <c r="I606" s="212"/>
      <c r="J606" s="212"/>
      <c r="K606" s="212"/>
    </row>
    <row r="607" spans="1:11">
      <c r="A607" s="208"/>
      <c r="B607" s="209" t="s">
        <v>2863</v>
      </c>
      <c r="C607" s="211" t="s">
        <v>1578</v>
      </c>
      <c r="D607" s="212">
        <v>12.35</v>
      </c>
      <c r="E607" s="212">
        <v>1.69</v>
      </c>
      <c r="F607" s="212" t="s">
        <v>2359</v>
      </c>
      <c r="G607" s="209"/>
      <c r="H607" s="215"/>
      <c r="I607" s="209"/>
      <c r="J607" s="209"/>
      <c r="K607" s="209"/>
    </row>
    <row r="608" spans="1:11">
      <c r="A608" s="208"/>
      <c r="B608" s="209" t="s">
        <v>2863</v>
      </c>
      <c r="C608" s="211" t="s">
        <v>1577</v>
      </c>
      <c r="D608" s="209" t="s">
        <v>1989</v>
      </c>
      <c r="E608" s="212">
        <v>1.98</v>
      </c>
      <c r="F608" s="212" t="s">
        <v>2359</v>
      </c>
      <c r="G608" s="209"/>
      <c r="H608" s="215"/>
      <c r="I608" s="212"/>
      <c r="J608" s="212"/>
      <c r="K608" s="212"/>
    </row>
    <row r="609" spans="1:11">
      <c r="A609" s="208"/>
      <c r="B609" s="209" t="s">
        <v>2863</v>
      </c>
      <c r="C609" s="211" t="s">
        <v>4153</v>
      </c>
      <c r="D609" s="212">
        <v>13.15</v>
      </c>
      <c r="E609" s="212">
        <v>2.2000000000000002</v>
      </c>
      <c r="F609" s="209" t="s">
        <v>2348</v>
      </c>
      <c r="G609" s="212"/>
      <c r="H609" s="215"/>
      <c r="I609" s="209"/>
      <c r="J609" s="209"/>
      <c r="K609" s="209"/>
    </row>
    <row r="610" spans="1:11">
      <c r="A610" s="208"/>
      <c r="B610" s="209" t="s">
        <v>2863</v>
      </c>
      <c r="C610" s="211" t="s">
        <v>5636</v>
      </c>
      <c r="D610" s="209" t="s">
        <v>4625</v>
      </c>
      <c r="E610" s="209" t="s">
        <v>5296</v>
      </c>
      <c r="F610" s="209" t="s">
        <v>2083</v>
      </c>
      <c r="G610" s="209"/>
      <c r="I610" s="212"/>
      <c r="J610" s="212"/>
      <c r="K610" s="212"/>
    </row>
    <row r="611" spans="1:11">
      <c r="A611" s="208"/>
      <c r="B611" s="209" t="s">
        <v>2863</v>
      </c>
      <c r="C611" s="211" t="s">
        <v>5635</v>
      </c>
      <c r="D611" s="209" t="s">
        <v>4625</v>
      </c>
      <c r="E611" s="209" t="s">
        <v>1650</v>
      </c>
      <c r="F611" s="209" t="s">
        <v>2083</v>
      </c>
      <c r="G611" s="209"/>
      <c r="I611" s="212"/>
      <c r="J611" s="212"/>
      <c r="K611" s="212"/>
    </row>
    <row r="612" spans="1:11">
      <c r="A612" s="208"/>
      <c r="B612" s="209" t="s">
        <v>2863</v>
      </c>
      <c r="C612" s="211" t="s">
        <v>1579</v>
      </c>
      <c r="D612" s="212">
        <v>14.2</v>
      </c>
      <c r="E612" s="212">
        <v>2.2999999999999998</v>
      </c>
      <c r="F612" s="212" t="s">
        <v>2347</v>
      </c>
      <c r="G612" s="209"/>
      <c r="I612" s="209"/>
      <c r="J612" s="209"/>
      <c r="K612" s="209"/>
    </row>
    <row r="613" spans="1:11">
      <c r="A613" s="208"/>
      <c r="B613" s="209" t="s">
        <v>2863</v>
      </c>
      <c r="C613" s="211" t="s">
        <v>1581</v>
      </c>
      <c r="D613" s="212">
        <v>14.19</v>
      </c>
      <c r="E613" s="212">
        <v>2.2999999999999998</v>
      </c>
      <c r="F613" s="209" t="s">
        <v>2362</v>
      </c>
      <c r="G613" s="212"/>
      <c r="I613" s="209"/>
      <c r="J613" s="209"/>
      <c r="K613" s="209"/>
    </row>
    <row r="614" spans="1:11">
      <c r="A614" s="208"/>
      <c r="B614" s="209" t="s">
        <v>2863</v>
      </c>
      <c r="C614" s="211" t="s">
        <v>1580</v>
      </c>
      <c r="D614" s="212">
        <v>14.19</v>
      </c>
      <c r="E614" s="212">
        <v>2.6</v>
      </c>
      <c r="F614" s="209" t="s">
        <v>2362</v>
      </c>
      <c r="G614" s="212"/>
      <c r="I614" s="209"/>
      <c r="J614" s="209"/>
      <c r="K614" s="209"/>
    </row>
    <row r="615" spans="1:11">
      <c r="A615" s="208"/>
      <c r="B615" s="209" t="s">
        <v>2863</v>
      </c>
      <c r="C615" s="211" t="s">
        <v>1582</v>
      </c>
      <c r="D615" s="212">
        <v>16.149999999999999</v>
      </c>
      <c r="E615" s="212">
        <v>2.4300000000000002</v>
      </c>
      <c r="F615" s="209" t="s">
        <v>2345</v>
      </c>
      <c r="G615" s="209"/>
      <c r="H615" s="215"/>
      <c r="I615" s="209"/>
      <c r="J615" s="209"/>
      <c r="K615" s="209"/>
    </row>
    <row r="616" spans="1:11">
      <c r="A616" s="208"/>
      <c r="B616" s="209" t="s">
        <v>2863</v>
      </c>
      <c r="C616" s="211" t="s">
        <v>1583</v>
      </c>
      <c r="D616" s="212">
        <v>16.149999999999999</v>
      </c>
      <c r="E616" s="212">
        <v>2.8</v>
      </c>
      <c r="F616" s="209" t="s">
        <v>2345</v>
      </c>
      <c r="G616" s="209"/>
      <c r="H616" s="215"/>
      <c r="I616" s="209"/>
      <c r="J616" s="209"/>
      <c r="K616" s="209"/>
    </row>
    <row r="617" spans="1:11">
      <c r="A617" s="208"/>
      <c r="B617" s="209" t="s">
        <v>2863</v>
      </c>
      <c r="C617" s="211" t="s">
        <v>1584</v>
      </c>
      <c r="D617" s="212">
        <v>16.079999999999998</v>
      </c>
      <c r="E617" s="212">
        <v>2.4300000000000002</v>
      </c>
      <c r="F617" s="209" t="s">
        <v>2362</v>
      </c>
      <c r="G617" s="209"/>
      <c r="I617" s="209"/>
      <c r="J617" s="209"/>
      <c r="K617" s="209"/>
    </row>
    <row r="618" spans="1:11">
      <c r="A618" s="208"/>
      <c r="B618" s="209" t="s">
        <v>2863</v>
      </c>
      <c r="C618" s="211" t="s">
        <v>1585</v>
      </c>
      <c r="D618" s="212">
        <v>16.079999999999998</v>
      </c>
      <c r="E618" s="212">
        <v>2.8</v>
      </c>
      <c r="F618" s="209" t="s">
        <v>2362</v>
      </c>
      <c r="G618" s="209"/>
      <c r="H618" s="215"/>
      <c r="I618" s="209"/>
      <c r="J618" s="209"/>
      <c r="K618" s="209"/>
    </row>
    <row r="619" spans="1:11">
      <c r="A619" s="208" t="s">
        <v>2342</v>
      </c>
      <c r="B619" s="209" t="s">
        <v>2863</v>
      </c>
      <c r="C619" s="211" t="s">
        <v>5603</v>
      </c>
      <c r="D619" s="212">
        <v>16.079999999999998</v>
      </c>
      <c r="E619" s="212">
        <v>2.8</v>
      </c>
      <c r="F619" s="209" t="s">
        <v>314</v>
      </c>
      <c r="G619" s="209"/>
      <c r="I619" s="209"/>
      <c r="J619" s="209"/>
      <c r="K619" s="209"/>
    </row>
    <row r="620" spans="1:11">
      <c r="A620" s="208" t="s">
        <v>2342</v>
      </c>
      <c r="B620" s="209" t="s">
        <v>2863</v>
      </c>
      <c r="C620" s="211" t="s">
        <v>5602</v>
      </c>
      <c r="D620" s="212">
        <v>19</v>
      </c>
      <c r="E620" s="212">
        <v>2.95</v>
      </c>
      <c r="F620" s="209" t="s">
        <v>2348</v>
      </c>
      <c r="G620" s="209"/>
      <c r="H620" s="215"/>
      <c r="I620" s="209"/>
      <c r="J620" s="209"/>
      <c r="K620" s="209"/>
    </row>
    <row r="621" spans="1:11">
      <c r="A621" s="208"/>
      <c r="B621" s="209" t="s">
        <v>2863</v>
      </c>
      <c r="C621" s="211" t="s">
        <v>5600</v>
      </c>
      <c r="D621" s="212" t="s">
        <v>5601</v>
      </c>
      <c r="E621" s="212" t="s">
        <v>5599</v>
      </c>
      <c r="F621" s="209" t="s">
        <v>5394</v>
      </c>
      <c r="G621" s="209"/>
      <c r="H621" s="215"/>
      <c r="I621" s="209"/>
      <c r="J621" s="209"/>
      <c r="K621" s="209"/>
    </row>
    <row r="622" spans="1:11">
      <c r="A622" s="208" t="s">
        <v>2342</v>
      </c>
      <c r="B622" s="209" t="s">
        <v>2864</v>
      </c>
      <c r="C622" s="211" t="s">
        <v>1586</v>
      </c>
      <c r="D622" s="212">
        <v>11.67</v>
      </c>
      <c r="E622" s="212">
        <v>1.5</v>
      </c>
      <c r="F622" s="209" t="s">
        <v>2362</v>
      </c>
      <c r="G622" s="212"/>
      <c r="I622" s="209"/>
      <c r="J622" s="209"/>
      <c r="K622" s="209"/>
    </row>
    <row r="623" spans="1:11">
      <c r="A623" s="208"/>
      <c r="B623" s="209" t="s">
        <v>2864</v>
      </c>
      <c r="C623" s="211" t="s">
        <v>1587</v>
      </c>
      <c r="D623" s="212">
        <v>11.67</v>
      </c>
      <c r="E623" s="212">
        <v>1.8</v>
      </c>
      <c r="F623" s="209" t="s">
        <v>2362</v>
      </c>
      <c r="G623" s="212"/>
      <c r="I623" s="212"/>
      <c r="J623" s="212"/>
      <c r="K623" s="212"/>
    </row>
    <row r="624" spans="1:11">
      <c r="A624" s="208"/>
      <c r="B624" s="209" t="s">
        <v>2864</v>
      </c>
      <c r="C624" s="211" t="s">
        <v>4154</v>
      </c>
      <c r="D624" s="212">
        <v>12.42</v>
      </c>
      <c r="E624" s="212">
        <v>1.55</v>
      </c>
      <c r="F624" s="209" t="s">
        <v>2362</v>
      </c>
      <c r="G624" s="209"/>
      <c r="I624" s="209"/>
      <c r="J624" s="209"/>
      <c r="K624" s="209"/>
    </row>
    <row r="625" spans="1:11">
      <c r="A625" s="208"/>
      <c r="B625" s="209" t="s">
        <v>2864</v>
      </c>
      <c r="C625" s="211" t="s">
        <v>4155</v>
      </c>
      <c r="D625" s="212">
        <v>15.65</v>
      </c>
      <c r="E625" s="212">
        <v>1.85</v>
      </c>
      <c r="F625" s="209" t="s">
        <v>2362</v>
      </c>
      <c r="G625" s="212"/>
      <c r="I625" s="209"/>
      <c r="J625" s="209"/>
      <c r="K625" s="209"/>
    </row>
    <row r="626" spans="1:11">
      <c r="A626" s="208"/>
      <c r="B626" s="209" t="s">
        <v>2864</v>
      </c>
      <c r="C626" s="211" t="s">
        <v>4012</v>
      </c>
      <c r="D626" s="212">
        <v>15.65</v>
      </c>
      <c r="E626" s="212">
        <v>1.75</v>
      </c>
      <c r="F626" s="209" t="s">
        <v>2362</v>
      </c>
      <c r="G626" s="209"/>
      <c r="I626" s="209"/>
      <c r="J626" s="209"/>
      <c r="K626" s="209"/>
    </row>
    <row r="627" spans="1:11">
      <c r="A627" s="208"/>
      <c r="B627" s="209" t="s">
        <v>2865</v>
      </c>
      <c r="C627" s="211" t="s">
        <v>4020</v>
      </c>
      <c r="D627" s="212">
        <v>7.42</v>
      </c>
      <c r="E627" s="212">
        <v>1.58</v>
      </c>
      <c r="F627" s="212" t="s">
        <v>306</v>
      </c>
      <c r="G627" s="209"/>
      <c r="I627" s="209"/>
      <c r="J627" s="209"/>
      <c r="K627" s="209"/>
    </row>
    <row r="628" spans="1:11">
      <c r="A628" s="208"/>
      <c r="B628" s="209" t="s">
        <v>2865</v>
      </c>
      <c r="C628" s="211" t="s">
        <v>4021</v>
      </c>
      <c r="D628" s="212">
        <v>7.6</v>
      </c>
      <c r="E628" s="212">
        <v>1</v>
      </c>
      <c r="F628" s="212" t="s">
        <v>306</v>
      </c>
      <c r="G628" s="212"/>
      <c r="I628" s="209"/>
      <c r="J628" s="209"/>
      <c r="K628" s="209"/>
    </row>
    <row r="629" spans="1:11">
      <c r="A629" s="208" t="s">
        <v>2342</v>
      </c>
      <c r="B629" s="209" t="s">
        <v>2865</v>
      </c>
      <c r="C629" s="211" t="s">
        <v>4022</v>
      </c>
      <c r="D629" s="212">
        <v>5.79</v>
      </c>
      <c r="E629" s="212">
        <v>0.96</v>
      </c>
      <c r="F629" s="212" t="s">
        <v>2366</v>
      </c>
      <c r="G629" s="212"/>
      <c r="I629" s="209"/>
      <c r="J629" s="209"/>
      <c r="K629" s="209"/>
    </row>
    <row r="630" spans="1:11">
      <c r="A630" s="208"/>
      <c r="B630" s="209" t="s">
        <v>2865</v>
      </c>
      <c r="C630" s="211" t="s">
        <v>768</v>
      </c>
      <c r="D630" s="212">
        <v>8</v>
      </c>
      <c r="E630" s="212">
        <v>1.54</v>
      </c>
      <c r="F630" s="212" t="s">
        <v>329</v>
      </c>
      <c r="G630" s="212"/>
      <c r="I630" s="212"/>
      <c r="J630" s="212"/>
      <c r="K630" s="212"/>
    </row>
    <row r="631" spans="1:11">
      <c r="A631" s="208"/>
      <c r="B631" s="209" t="s">
        <v>2865</v>
      </c>
      <c r="C631" s="211" t="s">
        <v>4023</v>
      </c>
      <c r="D631" s="212">
        <v>8.4600000000000009</v>
      </c>
      <c r="E631" s="212">
        <v>1.52</v>
      </c>
      <c r="F631" s="212" t="s">
        <v>2339</v>
      </c>
      <c r="G631" s="209"/>
      <c r="I631" s="209"/>
      <c r="J631" s="209"/>
      <c r="K631" s="209"/>
    </row>
    <row r="632" spans="1:11">
      <c r="A632" s="208"/>
      <c r="B632" s="209" t="s">
        <v>2865</v>
      </c>
      <c r="C632" s="211" t="s">
        <v>4024</v>
      </c>
      <c r="D632" s="209" t="s">
        <v>1993</v>
      </c>
      <c r="E632" s="212">
        <v>1.58</v>
      </c>
      <c r="F632" s="212" t="s">
        <v>324</v>
      </c>
      <c r="G632" s="209"/>
      <c r="I632" s="212"/>
      <c r="J632" s="212"/>
      <c r="K632" s="212"/>
    </row>
    <row r="633" spans="1:11">
      <c r="A633" s="208"/>
      <c r="B633" s="209" t="s">
        <v>2865</v>
      </c>
      <c r="C633" s="211" t="s">
        <v>4025</v>
      </c>
      <c r="D633" s="212">
        <v>9</v>
      </c>
      <c r="E633" s="212">
        <v>1.2</v>
      </c>
      <c r="F633" s="212" t="s">
        <v>2339</v>
      </c>
      <c r="G633" s="209"/>
      <c r="H633" s="215"/>
      <c r="I633" s="209"/>
      <c r="J633" s="209"/>
      <c r="K633" s="209"/>
    </row>
    <row r="634" spans="1:11">
      <c r="A634" s="208"/>
      <c r="B634" s="209" t="s">
        <v>2865</v>
      </c>
      <c r="C634" s="211" t="s">
        <v>1588</v>
      </c>
      <c r="D634" s="212">
        <v>9.4</v>
      </c>
      <c r="E634" s="212">
        <v>1.68</v>
      </c>
      <c r="F634" s="212" t="s">
        <v>2343</v>
      </c>
      <c r="G634" s="209"/>
      <c r="I634" s="209"/>
      <c r="J634" s="209"/>
      <c r="K634" s="209"/>
    </row>
    <row r="635" spans="1:11">
      <c r="A635" s="208"/>
      <c r="B635" s="209" t="s">
        <v>2865</v>
      </c>
      <c r="C635" s="211" t="s">
        <v>4026</v>
      </c>
      <c r="D635" s="212">
        <v>9.41</v>
      </c>
      <c r="E635" s="212">
        <v>1.32</v>
      </c>
      <c r="F635" s="212" t="s">
        <v>343</v>
      </c>
      <c r="G635" s="209"/>
      <c r="I635" s="209"/>
      <c r="J635" s="209"/>
      <c r="K635" s="209"/>
    </row>
    <row r="636" spans="1:11">
      <c r="A636" s="208"/>
      <c r="B636" s="209" t="s">
        <v>2865</v>
      </c>
      <c r="C636" s="211" t="s">
        <v>4027</v>
      </c>
      <c r="D636" s="212">
        <v>10.199999999999999</v>
      </c>
      <c r="E636" s="212">
        <v>1.37</v>
      </c>
      <c r="F636" s="212" t="s">
        <v>2341</v>
      </c>
      <c r="G636" s="209"/>
      <c r="I636" s="212"/>
      <c r="J636" s="212"/>
      <c r="K636" s="212"/>
    </row>
    <row r="637" spans="1:11">
      <c r="A637" s="208"/>
      <c r="B637" s="209" t="s">
        <v>2865</v>
      </c>
      <c r="C637" s="211" t="s">
        <v>4028</v>
      </c>
      <c r="D637" s="212">
        <v>10.210000000000001</v>
      </c>
      <c r="E637" s="212">
        <v>1.82</v>
      </c>
      <c r="F637" s="212" t="s">
        <v>2343</v>
      </c>
      <c r="G637" s="209"/>
      <c r="I637" s="209"/>
      <c r="J637" s="209"/>
      <c r="K637" s="209"/>
    </row>
    <row r="638" spans="1:11">
      <c r="A638" s="208"/>
      <c r="B638" s="209" t="s">
        <v>2865</v>
      </c>
      <c r="C638" s="211" t="s">
        <v>4029</v>
      </c>
      <c r="D638" s="212">
        <v>12.28</v>
      </c>
      <c r="E638" s="212">
        <v>1.54</v>
      </c>
      <c r="F638" s="212" t="s">
        <v>353</v>
      </c>
      <c r="G638" s="209"/>
      <c r="I638" s="209"/>
      <c r="J638" s="209"/>
      <c r="K638" s="209"/>
    </row>
    <row r="639" spans="1:11">
      <c r="A639" s="208"/>
      <c r="B639" s="209" t="s">
        <v>2865</v>
      </c>
      <c r="C639" s="211" t="s">
        <v>1590</v>
      </c>
      <c r="D639" s="209" t="s">
        <v>2079</v>
      </c>
      <c r="E639" s="212">
        <v>1.85</v>
      </c>
      <c r="F639" s="212" t="s">
        <v>2340</v>
      </c>
      <c r="G639" s="209"/>
      <c r="I639" s="209"/>
      <c r="J639" s="209"/>
      <c r="K639" s="209"/>
    </row>
    <row r="640" spans="1:11">
      <c r="A640" s="208"/>
      <c r="B640" s="209" t="s">
        <v>2865</v>
      </c>
      <c r="C640" s="211" t="s">
        <v>1589</v>
      </c>
      <c r="D640" s="212">
        <v>12.4</v>
      </c>
      <c r="E640" s="212">
        <v>1.93</v>
      </c>
      <c r="F640" s="212" t="s">
        <v>2340</v>
      </c>
      <c r="G640" s="209"/>
      <c r="H640" s="215"/>
      <c r="I640" s="212"/>
      <c r="J640" s="212"/>
      <c r="K640" s="212"/>
    </row>
    <row r="641" spans="1:11">
      <c r="A641" s="208"/>
      <c r="B641" s="209" t="s">
        <v>2865</v>
      </c>
      <c r="C641" s="211" t="s">
        <v>4030</v>
      </c>
      <c r="D641" s="212">
        <v>12.98</v>
      </c>
      <c r="E641" s="212">
        <v>1.25</v>
      </c>
      <c r="F641" s="212" t="s">
        <v>319</v>
      </c>
      <c r="G641" s="209"/>
      <c r="I641" s="209"/>
      <c r="J641" s="209"/>
      <c r="K641" s="209"/>
    </row>
    <row r="642" spans="1:11">
      <c r="A642" s="208"/>
      <c r="B642" s="209" t="s">
        <v>2865</v>
      </c>
      <c r="C642" s="211" t="s">
        <v>4031</v>
      </c>
      <c r="D642" s="212">
        <v>7.07</v>
      </c>
      <c r="E642" s="212">
        <v>1.48</v>
      </c>
      <c r="F642" s="212" t="s">
        <v>319</v>
      </c>
      <c r="G642" s="212"/>
      <c r="H642" s="215"/>
      <c r="I642" s="209"/>
      <c r="J642" s="209"/>
      <c r="K642" s="209"/>
    </row>
    <row r="643" spans="1:11">
      <c r="A643" s="208"/>
      <c r="B643" s="209" t="s">
        <v>2865</v>
      </c>
      <c r="C643" s="211" t="s">
        <v>769</v>
      </c>
      <c r="D643" s="212">
        <v>8.56</v>
      </c>
      <c r="E643" s="212">
        <v>1.78</v>
      </c>
      <c r="F643" s="212" t="s">
        <v>2353</v>
      </c>
      <c r="G643" s="209"/>
      <c r="I643" s="209"/>
      <c r="J643" s="209"/>
      <c r="K643" s="209"/>
    </row>
    <row r="644" spans="1:11">
      <c r="A644" s="208"/>
      <c r="B644" s="209" t="s">
        <v>2865</v>
      </c>
      <c r="C644" s="211" t="s">
        <v>770</v>
      </c>
      <c r="D644" s="212">
        <v>8.56</v>
      </c>
      <c r="E644" s="212">
        <v>1.78</v>
      </c>
      <c r="F644" s="212" t="s">
        <v>2353</v>
      </c>
      <c r="G644" s="209"/>
      <c r="I644" s="212"/>
      <c r="J644" s="212"/>
      <c r="K644" s="212"/>
    </row>
    <row r="645" spans="1:11">
      <c r="A645" s="208"/>
      <c r="B645" s="209" t="s">
        <v>2865</v>
      </c>
      <c r="C645" s="211" t="s">
        <v>3398</v>
      </c>
      <c r="D645" s="212">
        <v>6</v>
      </c>
      <c r="E645" s="212">
        <v>1.17</v>
      </c>
      <c r="F645" s="212" t="s">
        <v>2370</v>
      </c>
      <c r="G645" s="209"/>
      <c r="I645" s="212"/>
      <c r="J645" s="212"/>
      <c r="K645" s="212"/>
    </row>
    <row r="646" spans="1:11">
      <c r="A646" s="208"/>
      <c r="B646" s="209" t="s">
        <v>2866</v>
      </c>
      <c r="C646" s="211" t="s">
        <v>4032</v>
      </c>
      <c r="D646" s="212">
        <v>7.77</v>
      </c>
      <c r="E646" s="212">
        <v>1.52</v>
      </c>
      <c r="F646" s="212" t="s">
        <v>3527</v>
      </c>
      <c r="G646" s="209"/>
      <c r="H646" s="215"/>
      <c r="I646" s="209"/>
      <c r="J646" s="209"/>
      <c r="K646" s="209"/>
    </row>
    <row r="647" spans="1:11">
      <c r="A647" s="208"/>
      <c r="B647" s="209" t="s">
        <v>2866</v>
      </c>
      <c r="C647" s="211" t="s">
        <v>4033</v>
      </c>
      <c r="D647" s="212">
        <v>9.18</v>
      </c>
      <c r="E647" s="212">
        <v>1.72</v>
      </c>
      <c r="F647" s="212" t="s">
        <v>2374</v>
      </c>
      <c r="G647" s="209"/>
      <c r="I647" s="212"/>
      <c r="J647" s="212"/>
      <c r="K647" s="212"/>
    </row>
    <row r="648" spans="1:11">
      <c r="A648" s="208"/>
      <c r="B648" s="209" t="s">
        <v>2866</v>
      </c>
      <c r="C648" s="211" t="s">
        <v>4034</v>
      </c>
      <c r="D648" s="212">
        <v>9.86</v>
      </c>
      <c r="E648" s="212">
        <v>1.81</v>
      </c>
      <c r="F648" s="212" t="s">
        <v>2353</v>
      </c>
      <c r="G648" s="209"/>
      <c r="I648" s="212"/>
      <c r="J648" s="212"/>
      <c r="K648" s="212"/>
    </row>
    <row r="649" spans="1:11">
      <c r="A649" s="208"/>
      <c r="B649" s="209" t="s">
        <v>2866</v>
      </c>
      <c r="C649" s="211" t="s">
        <v>4035</v>
      </c>
      <c r="D649" s="212">
        <v>9.3000000000000007</v>
      </c>
      <c r="E649" s="212">
        <v>1.75</v>
      </c>
      <c r="F649" s="212" t="s">
        <v>2372</v>
      </c>
      <c r="G649" s="212"/>
      <c r="I649" s="212"/>
      <c r="J649" s="212"/>
      <c r="K649" s="212"/>
    </row>
    <row r="650" spans="1:11">
      <c r="A650" s="208"/>
      <c r="B650" s="209" t="s">
        <v>2866</v>
      </c>
      <c r="C650" s="211" t="s">
        <v>4036</v>
      </c>
      <c r="D650" s="209" t="s">
        <v>2080</v>
      </c>
      <c r="E650" s="212">
        <v>1.97</v>
      </c>
      <c r="F650" s="212" t="s">
        <v>3560</v>
      </c>
      <c r="G650" s="209"/>
      <c r="H650" s="215"/>
      <c r="I650" s="212"/>
      <c r="J650" s="212"/>
      <c r="K650" s="212"/>
    </row>
    <row r="651" spans="1:11">
      <c r="A651" s="208"/>
      <c r="B651" s="209" t="s">
        <v>5424</v>
      </c>
      <c r="C651" s="211" t="s">
        <v>4682</v>
      </c>
      <c r="D651" s="209" t="s">
        <v>4683</v>
      </c>
      <c r="E651" s="209" t="s">
        <v>4684</v>
      </c>
      <c r="F651" s="209" t="s">
        <v>4685</v>
      </c>
      <c r="G651" s="212"/>
      <c r="I651" s="209"/>
      <c r="J651" s="209"/>
      <c r="K651" s="209"/>
    </row>
    <row r="652" spans="1:11">
      <c r="A652" s="208"/>
      <c r="B652" s="209" t="s">
        <v>5424</v>
      </c>
      <c r="C652" s="211" t="s">
        <v>5425</v>
      </c>
      <c r="D652" s="209" t="s">
        <v>5426</v>
      </c>
      <c r="E652" s="209" t="s">
        <v>407</v>
      </c>
      <c r="F652" s="209" t="s">
        <v>5297</v>
      </c>
      <c r="G652" s="212"/>
      <c r="I652" s="212"/>
      <c r="J652" s="212"/>
      <c r="K652" s="212"/>
    </row>
    <row r="653" spans="1:11">
      <c r="A653" s="208"/>
      <c r="B653" s="209" t="s">
        <v>5424</v>
      </c>
      <c r="C653" s="211" t="s">
        <v>5581</v>
      </c>
      <c r="D653" s="209" t="s">
        <v>5582</v>
      </c>
      <c r="E653" s="209" t="s">
        <v>480</v>
      </c>
      <c r="F653" s="209" t="s">
        <v>5467</v>
      </c>
      <c r="G653" s="209"/>
      <c r="H653" s="215"/>
      <c r="I653" s="209"/>
      <c r="J653" s="209"/>
      <c r="K653" s="209"/>
    </row>
    <row r="654" spans="1:11">
      <c r="A654" s="208"/>
      <c r="B654" s="209" t="s">
        <v>5424</v>
      </c>
      <c r="C654" s="211" t="s">
        <v>5632</v>
      </c>
      <c r="D654" s="209" t="s">
        <v>5633</v>
      </c>
      <c r="E654" s="209" t="s">
        <v>413</v>
      </c>
      <c r="F654" s="209" t="s">
        <v>5634</v>
      </c>
      <c r="G654" s="209"/>
      <c r="I654" s="209"/>
      <c r="J654" s="209"/>
      <c r="K654" s="209"/>
    </row>
    <row r="655" spans="1:11">
      <c r="A655" s="208"/>
      <c r="B655" s="209" t="s">
        <v>2868</v>
      </c>
      <c r="C655" s="211" t="s">
        <v>4043</v>
      </c>
      <c r="D655" s="212">
        <v>10</v>
      </c>
      <c r="E655" s="212">
        <v>1.75</v>
      </c>
      <c r="F655" s="212" t="s">
        <v>321</v>
      </c>
      <c r="G655" s="209"/>
      <c r="H655" s="215"/>
      <c r="I655" s="209"/>
      <c r="J655" s="209"/>
      <c r="K655" s="209"/>
    </row>
    <row r="656" spans="1:11">
      <c r="A656" s="208" t="s">
        <v>2342</v>
      </c>
      <c r="B656" s="209" t="s">
        <v>2868</v>
      </c>
      <c r="C656" s="211" t="s">
        <v>4044</v>
      </c>
      <c r="D656" s="212">
        <v>10.5</v>
      </c>
      <c r="E656" s="212">
        <v>1.98</v>
      </c>
      <c r="F656" s="212" t="s">
        <v>308</v>
      </c>
      <c r="G656" s="212"/>
      <c r="I656" s="209"/>
      <c r="J656" s="209"/>
      <c r="K656" s="209"/>
    </row>
    <row r="657" spans="1:11">
      <c r="A657" s="208" t="s">
        <v>2342</v>
      </c>
      <c r="B657" s="209" t="s">
        <v>2868</v>
      </c>
      <c r="C657" s="211" t="s">
        <v>4045</v>
      </c>
      <c r="D657" s="212">
        <v>10.74</v>
      </c>
      <c r="E657" s="212">
        <v>2.13</v>
      </c>
      <c r="F657" s="212" t="s">
        <v>2359</v>
      </c>
      <c r="G657" s="209"/>
      <c r="H657" s="215"/>
      <c r="I657" s="209"/>
      <c r="J657" s="209"/>
      <c r="K657" s="209"/>
    </row>
    <row r="658" spans="1:11">
      <c r="A658" s="208"/>
      <c r="B658" s="209" t="s">
        <v>2868</v>
      </c>
      <c r="C658" s="211" t="s">
        <v>1593</v>
      </c>
      <c r="D658" s="212">
        <v>10.96</v>
      </c>
      <c r="E658" s="212">
        <v>1.78</v>
      </c>
      <c r="F658" s="212" t="s">
        <v>2341</v>
      </c>
      <c r="G658" s="209"/>
      <c r="H658" s="215"/>
      <c r="I658" s="209"/>
      <c r="J658" s="209"/>
      <c r="K658" s="209"/>
    </row>
    <row r="659" spans="1:11">
      <c r="A659" s="208"/>
      <c r="B659" s="209" t="s">
        <v>2868</v>
      </c>
      <c r="C659" s="211" t="s">
        <v>1594</v>
      </c>
      <c r="D659" s="212">
        <v>10.96</v>
      </c>
      <c r="E659" s="212">
        <v>1.96</v>
      </c>
      <c r="F659" s="212" t="s">
        <v>2341</v>
      </c>
      <c r="G659" s="209"/>
      <c r="I659" s="209"/>
      <c r="J659" s="209"/>
      <c r="K659" s="209"/>
    </row>
    <row r="660" spans="1:11">
      <c r="A660" s="208"/>
      <c r="B660" s="209" t="s">
        <v>2868</v>
      </c>
      <c r="C660" s="211" t="s">
        <v>4329</v>
      </c>
      <c r="D660" s="209" t="s">
        <v>316</v>
      </c>
      <c r="E660" s="209" t="s">
        <v>4331</v>
      </c>
      <c r="F660" s="209" t="s">
        <v>1659</v>
      </c>
      <c r="G660" s="212"/>
      <c r="H660" s="215"/>
      <c r="I660" s="209"/>
      <c r="J660" s="209"/>
      <c r="K660" s="209"/>
    </row>
    <row r="661" spans="1:11">
      <c r="A661" s="208"/>
      <c r="B661" s="209" t="s">
        <v>2868</v>
      </c>
      <c r="C661" s="211" t="s">
        <v>4330</v>
      </c>
      <c r="D661" s="209" t="s">
        <v>316</v>
      </c>
      <c r="E661" s="209" t="s">
        <v>4332</v>
      </c>
      <c r="F661" s="209" t="s">
        <v>1659</v>
      </c>
      <c r="G661" s="209"/>
      <c r="H661" s="215"/>
      <c r="I661" s="209"/>
      <c r="J661" s="209"/>
      <c r="K661" s="209"/>
    </row>
    <row r="662" spans="1:11">
      <c r="A662" s="208"/>
      <c r="B662" s="209" t="s">
        <v>2868</v>
      </c>
      <c r="C662" s="211" t="s">
        <v>4046</v>
      </c>
      <c r="D662" s="212">
        <v>11.15</v>
      </c>
      <c r="E662" s="212">
        <v>2.2000000000000002</v>
      </c>
      <c r="F662" s="209" t="s">
        <v>314</v>
      </c>
      <c r="G662" s="209"/>
      <c r="H662" s="215"/>
      <c r="I662" s="209"/>
      <c r="J662" s="209"/>
      <c r="K662" s="209"/>
    </row>
    <row r="663" spans="1:11">
      <c r="A663" s="208"/>
      <c r="B663" s="209" t="s">
        <v>2868</v>
      </c>
      <c r="C663" s="211" t="s">
        <v>4047</v>
      </c>
      <c r="D663" s="212">
        <v>11.15</v>
      </c>
      <c r="E663" s="212">
        <v>2.2000000000000002</v>
      </c>
      <c r="F663" s="209" t="s">
        <v>314</v>
      </c>
      <c r="G663" s="209"/>
      <c r="I663" s="209"/>
      <c r="J663" s="209"/>
      <c r="K663" s="209"/>
    </row>
    <row r="664" spans="1:11">
      <c r="A664" s="208"/>
      <c r="B664" s="209" t="s">
        <v>2868</v>
      </c>
      <c r="C664" s="211" t="s">
        <v>1596</v>
      </c>
      <c r="D664" s="212">
        <v>12.19</v>
      </c>
      <c r="E664" s="212">
        <v>1.75</v>
      </c>
      <c r="F664" s="212" t="s">
        <v>2341</v>
      </c>
      <c r="G664" s="209"/>
      <c r="I664" s="209"/>
      <c r="J664" s="209"/>
      <c r="K664" s="209"/>
    </row>
    <row r="665" spans="1:11">
      <c r="A665" s="208"/>
      <c r="B665" s="209" t="s">
        <v>2868</v>
      </c>
      <c r="C665" s="211" t="s">
        <v>1595</v>
      </c>
      <c r="D665" s="212">
        <v>12.19</v>
      </c>
      <c r="E665" s="212">
        <v>2.13</v>
      </c>
      <c r="F665" s="212" t="s">
        <v>2341</v>
      </c>
      <c r="G665" s="209"/>
      <c r="I665" s="209"/>
      <c r="J665" s="209"/>
      <c r="K665" s="209"/>
    </row>
    <row r="666" spans="1:11">
      <c r="A666" s="208"/>
      <c r="B666" s="209" t="s">
        <v>2868</v>
      </c>
      <c r="C666" s="211" t="s">
        <v>4678</v>
      </c>
      <c r="D666" s="209" t="s">
        <v>1291</v>
      </c>
      <c r="E666" s="209" t="s">
        <v>4679</v>
      </c>
      <c r="F666" s="209" t="s">
        <v>4674</v>
      </c>
      <c r="G666" s="209"/>
      <c r="I666" s="209"/>
      <c r="J666" s="209"/>
      <c r="K666" s="209"/>
    </row>
    <row r="667" spans="1:11">
      <c r="A667" s="208"/>
      <c r="B667" s="209" t="s">
        <v>2868</v>
      </c>
      <c r="C667" s="211" t="s">
        <v>5304</v>
      </c>
      <c r="D667" s="209" t="s">
        <v>1291</v>
      </c>
      <c r="E667" s="209" t="s">
        <v>4679</v>
      </c>
      <c r="F667" s="209" t="s">
        <v>4674</v>
      </c>
      <c r="G667" s="212"/>
      <c r="I667" s="209"/>
      <c r="J667" s="209"/>
      <c r="K667" s="209"/>
    </row>
    <row r="668" spans="1:11">
      <c r="A668" s="208"/>
      <c r="B668" s="209" t="s">
        <v>2868</v>
      </c>
      <c r="C668" s="211" t="s">
        <v>4680</v>
      </c>
      <c r="D668" s="209" t="s">
        <v>1291</v>
      </c>
      <c r="E668" s="209" t="s">
        <v>4681</v>
      </c>
      <c r="F668" s="209" t="s">
        <v>4674</v>
      </c>
      <c r="G668" s="212"/>
      <c r="I668" s="212"/>
      <c r="J668" s="212"/>
      <c r="K668" s="212"/>
    </row>
    <row r="669" spans="1:11">
      <c r="A669" s="208"/>
      <c r="B669" s="209" t="s">
        <v>2868</v>
      </c>
      <c r="C669" s="211" t="s">
        <v>5305</v>
      </c>
      <c r="D669" s="209" t="s">
        <v>1291</v>
      </c>
      <c r="E669" s="209" t="s">
        <v>4681</v>
      </c>
      <c r="F669" s="209" t="s">
        <v>4674</v>
      </c>
      <c r="G669" s="209"/>
      <c r="I669" s="209"/>
      <c r="J669" s="209"/>
      <c r="K669" s="209"/>
    </row>
    <row r="670" spans="1:11">
      <c r="A670" s="208"/>
      <c r="B670" s="209" t="s">
        <v>2868</v>
      </c>
      <c r="C670" s="211" t="s">
        <v>4180</v>
      </c>
      <c r="D670" s="212">
        <v>12.19</v>
      </c>
      <c r="E670" s="212">
        <v>2.2000000000000002</v>
      </c>
      <c r="F670" s="209" t="s">
        <v>2362</v>
      </c>
      <c r="G670" s="212"/>
      <c r="I670" s="209"/>
      <c r="J670" s="209"/>
      <c r="K670" s="209"/>
    </row>
    <row r="671" spans="1:11">
      <c r="A671" s="208"/>
      <c r="B671" s="209" t="s">
        <v>2868</v>
      </c>
      <c r="C671" s="211" t="s">
        <v>4181</v>
      </c>
      <c r="D671" s="209" t="s">
        <v>2079</v>
      </c>
      <c r="E671" s="212">
        <v>2.13</v>
      </c>
      <c r="F671" s="212" t="s">
        <v>2347</v>
      </c>
      <c r="G671" s="212"/>
      <c r="I671" s="209"/>
      <c r="J671" s="209"/>
      <c r="K671" s="209"/>
    </row>
    <row r="672" spans="1:11">
      <c r="A672" s="208"/>
      <c r="B672" s="209" t="s">
        <v>2868</v>
      </c>
      <c r="C672" s="211" t="s">
        <v>4182</v>
      </c>
      <c r="D672" s="209" t="s">
        <v>2082</v>
      </c>
      <c r="E672" s="212">
        <v>2.4</v>
      </c>
      <c r="F672" s="212" t="s">
        <v>2344</v>
      </c>
      <c r="G672" s="212"/>
      <c r="I672" s="209"/>
      <c r="J672" s="209"/>
      <c r="K672" s="209"/>
    </row>
    <row r="673" spans="1:11">
      <c r="A673" s="208" t="s">
        <v>2342</v>
      </c>
      <c r="B673" s="209" t="s">
        <v>2868</v>
      </c>
      <c r="C673" s="211" t="s">
        <v>1598</v>
      </c>
      <c r="D673" s="212">
        <v>13.01</v>
      </c>
      <c r="E673" s="212">
        <v>2.16</v>
      </c>
      <c r="F673" s="212" t="s">
        <v>3539</v>
      </c>
      <c r="G673" s="212"/>
      <c r="I673" s="209"/>
      <c r="J673" s="209"/>
      <c r="K673" s="209"/>
    </row>
    <row r="674" spans="1:11">
      <c r="A674" s="208"/>
      <c r="B674" s="209" t="s">
        <v>2868</v>
      </c>
      <c r="C674" s="211" t="s">
        <v>1597</v>
      </c>
      <c r="D674" s="212">
        <v>13.01</v>
      </c>
      <c r="E674" s="212">
        <v>2.59</v>
      </c>
      <c r="F674" s="212" t="s">
        <v>3539</v>
      </c>
      <c r="G674" s="209"/>
      <c r="I674" s="209"/>
      <c r="J674" s="209"/>
      <c r="K674" s="209"/>
    </row>
    <row r="675" spans="1:11">
      <c r="A675" s="208"/>
      <c r="B675" s="209" t="s">
        <v>2868</v>
      </c>
      <c r="C675" s="211" t="s">
        <v>4184</v>
      </c>
      <c r="D675" s="212">
        <v>13.11</v>
      </c>
      <c r="E675" s="212">
        <v>2.29</v>
      </c>
      <c r="F675" s="212" t="s">
        <v>2345</v>
      </c>
      <c r="G675" s="212"/>
      <c r="I675" s="209"/>
      <c r="J675" s="209"/>
      <c r="K675" s="209"/>
    </row>
    <row r="676" spans="1:11">
      <c r="A676" s="208"/>
      <c r="B676" s="209" t="s">
        <v>2868</v>
      </c>
      <c r="C676" s="211" t="s">
        <v>4183</v>
      </c>
      <c r="D676" s="212">
        <v>13.11</v>
      </c>
      <c r="E676" s="212">
        <v>2.29</v>
      </c>
      <c r="F676" s="212" t="s">
        <v>2345</v>
      </c>
      <c r="G676" s="209"/>
      <c r="H676" s="215"/>
      <c r="I676" s="209"/>
      <c r="J676" s="209"/>
      <c r="K676" s="209"/>
    </row>
    <row r="677" spans="1:11">
      <c r="A677" s="208"/>
      <c r="B677" s="209" t="s">
        <v>2868</v>
      </c>
      <c r="C677" s="211" t="s">
        <v>1599</v>
      </c>
      <c r="D677" s="212">
        <v>14.64</v>
      </c>
      <c r="E677" s="212">
        <v>2.72</v>
      </c>
      <c r="F677" s="212" t="s">
        <v>343</v>
      </c>
      <c r="G677" s="209"/>
      <c r="I677" s="209"/>
      <c r="J677" s="209"/>
      <c r="K677" s="209"/>
    </row>
    <row r="678" spans="1:11">
      <c r="A678" s="208"/>
      <c r="B678" s="209" t="s">
        <v>2868</v>
      </c>
      <c r="C678" s="211" t="s">
        <v>1600</v>
      </c>
      <c r="D678" s="212">
        <v>14.64</v>
      </c>
      <c r="E678" s="212">
        <v>2.29</v>
      </c>
      <c r="F678" s="212" t="s">
        <v>343</v>
      </c>
      <c r="G678" s="209"/>
      <c r="I678" s="212"/>
      <c r="J678" s="212"/>
      <c r="K678" s="212"/>
    </row>
    <row r="679" spans="1:11">
      <c r="A679" s="208"/>
      <c r="B679" s="209" t="s">
        <v>2868</v>
      </c>
      <c r="C679" s="211" t="s">
        <v>1601</v>
      </c>
      <c r="D679" s="209" t="s">
        <v>2083</v>
      </c>
      <c r="E679" s="212">
        <v>2.15</v>
      </c>
      <c r="F679" s="212" t="s">
        <v>319</v>
      </c>
      <c r="G679" s="209"/>
      <c r="I679" s="209"/>
      <c r="J679" s="209"/>
      <c r="K679" s="209"/>
    </row>
    <row r="680" spans="1:11">
      <c r="A680" s="208"/>
      <c r="B680" s="209" t="s">
        <v>2868</v>
      </c>
      <c r="C680" s="211" t="s">
        <v>1602</v>
      </c>
      <c r="D680" s="209" t="s">
        <v>2083</v>
      </c>
      <c r="E680" s="212">
        <v>2.4</v>
      </c>
      <c r="F680" s="212" t="s">
        <v>319</v>
      </c>
      <c r="G680" s="209"/>
      <c r="I680" s="209"/>
      <c r="J680" s="209"/>
      <c r="K680" s="209"/>
    </row>
    <row r="681" spans="1:11">
      <c r="A681" s="208" t="s">
        <v>2342</v>
      </c>
      <c r="B681" s="209" t="s">
        <v>2868</v>
      </c>
      <c r="C681" s="211" t="s">
        <v>771</v>
      </c>
      <c r="D681" s="212">
        <v>6.86</v>
      </c>
      <c r="E681" s="212">
        <v>1.2</v>
      </c>
      <c r="F681" s="212" t="s">
        <v>306</v>
      </c>
      <c r="G681" s="209"/>
      <c r="I681" s="209"/>
      <c r="J681" s="209"/>
      <c r="K681" s="209"/>
    </row>
    <row r="682" spans="1:11">
      <c r="A682" s="208"/>
      <c r="B682" s="209" t="s">
        <v>2868</v>
      </c>
      <c r="C682" s="211" t="s">
        <v>772</v>
      </c>
      <c r="D682" s="212">
        <v>7.32</v>
      </c>
      <c r="E682" s="212">
        <v>1.25</v>
      </c>
      <c r="F682" s="212" t="s">
        <v>327</v>
      </c>
      <c r="G682" s="209"/>
      <c r="I682" s="209"/>
      <c r="J682" s="209"/>
      <c r="K682" s="209"/>
    </row>
    <row r="683" spans="1:11">
      <c r="A683" s="208"/>
      <c r="B683" s="209" t="s">
        <v>2868</v>
      </c>
      <c r="C683" s="211" t="s">
        <v>4185</v>
      </c>
      <c r="D683" s="212">
        <v>8.36</v>
      </c>
      <c r="E683" s="212">
        <v>1.52</v>
      </c>
      <c r="F683" s="212" t="s">
        <v>324</v>
      </c>
      <c r="G683" s="209"/>
      <c r="I683" s="209"/>
      <c r="J683" s="209"/>
      <c r="K683" s="209"/>
    </row>
    <row r="684" spans="1:11">
      <c r="A684" s="208"/>
      <c r="B684" s="209" t="s">
        <v>2868</v>
      </c>
      <c r="C684" s="211" t="s">
        <v>4186</v>
      </c>
      <c r="D684" s="212">
        <v>9</v>
      </c>
      <c r="E684" s="212">
        <v>1.75</v>
      </c>
      <c r="F684" s="212" t="s">
        <v>3508</v>
      </c>
      <c r="G684" s="209"/>
      <c r="I684" s="212"/>
      <c r="J684" s="212"/>
      <c r="K684" s="212"/>
    </row>
    <row r="685" spans="1:11">
      <c r="A685" s="208"/>
      <c r="B685" s="209" t="s">
        <v>2868</v>
      </c>
      <c r="C685" s="211" t="s">
        <v>4187</v>
      </c>
      <c r="D685" s="212">
        <v>9.09</v>
      </c>
      <c r="E685" s="212">
        <v>1.61</v>
      </c>
      <c r="F685" s="212" t="s">
        <v>2353</v>
      </c>
      <c r="G685" s="209"/>
      <c r="I685" s="212"/>
      <c r="J685" s="212"/>
      <c r="K685" s="212"/>
    </row>
    <row r="686" spans="1:11">
      <c r="A686" s="208"/>
      <c r="B686" s="209" t="s">
        <v>2868</v>
      </c>
      <c r="C686" s="211" t="s">
        <v>4188</v>
      </c>
      <c r="D686" s="212">
        <v>9.8800000000000008</v>
      </c>
      <c r="E686" s="212">
        <v>1.83</v>
      </c>
      <c r="F686" s="212" t="s">
        <v>2339</v>
      </c>
      <c r="G686" s="209"/>
      <c r="I686" s="212"/>
      <c r="J686" s="212"/>
      <c r="K686" s="212"/>
    </row>
    <row r="687" spans="1:11">
      <c r="A687" s="208"/>
      <c r="B687" s="209" t="s">
        <v>2868</v>
      </c>
      <c r="C687" s="211" t="s">
        <v>4189</v>
      </c>
      <c r="D687" s="209" t="s">
        <v>2084</v>
      </c>
      <c r="E687" s="212">
        <v>1.9</v>
      </c>
      <c r="F687" s="212" t="s">
        <v>329</v>
      </c>
      <c r="G687" s="209"/>
      <c r="I687" s="212"/>
      <c r="J687" s="212"/>
      <c r="K687" s="212"/>
    </row>
    <row r="688" spans="1:11">
      <c r="A688" s="208"/>
      <c r="B688" s="209" t="s">
        <v>2868</v>
      </c>
      <c r="C688" s="211" t="s">
        <v>4190</v>
      </c>
      <c r="D688" s="209" t="s">
        <v>2085</v>
      </c>
      <c r="E688" s="212">
        <v>1.86</v>
      </c>
      <c r="F688" s="212" t="s">
        <v>332</v>
      </c>
      <c r="G688" s="209"/>
      <c r="H688" s="215"/>
      <c r="I688" s="212"/>
      <c r="J688" s="212"/>
      <c r="K688" s="212"/>
    </row>
    <row r="689" spans="1:11">
      <c r="A689" s="208"/>
      <c r="B689" s="209" t="s">
        <v>2868</v>
      </c>
      <c r="C689" s="211" t="s">
        <v>4191</v>
      </c>
      <c r="D689" s="212">
        <v>10.82</v>
      </c>
      <c r="E689" s="212">
        <v>2.14</v>
      </c>
      <c r="F689" s="212" t="s">
        <v>3560</v>
      </c>
      <c r="G689" s="209"/>
      <c r="I689" s="212"/>
      <c r="J689" s="212"/>
      <c r="K689" s="212"/>
    </row>
    <row r="690" spans="1:11">
      <c r="A690" s="208"/>
      <c r="B690" s="209" t="s">
        <v>2868</v>
      </c>
      <c r="C690" s="211" t="s">
        <v>4192</v>
      </c>
      <c r="D690" s="212">
        <v>10.96</v>
      </c>
      <c r="E690" s="212">
        <v>2.02</v>
      </c>
      <c r="F690" s="212" t="s">
        <v>2370</v>
      </c>
      <c r="G690" s="209"/>
      <c r="I690" s="212"/>
      <c r="J690" s="212"/>
      <c r="K690" s="212"/>
    </row>
    <row r="691" spans="1:11">
      <c r="A691" s="208"/>
      <c r="B691" s="209" t="s">
        <v>2868</v>
      </c>
      <c r="C691" s="211" t="s">
        <v>4193</v>
      </c>
      <c r="D691" s="212">
        <v>12.35</v>
      </c>
      <c r="E691" s="212">
        <v>1.64</v>
      </c>
      <c r="F691" s="212" t="s">
        <v>2980</v>
      </c>
      <c r="G691" s="209"/>
      <c r="I691" s="212"/>
      <c r="J691" s="212"/>
      <c r="K691" s="212"/>
    </row>
    <row r="692" spans="1:11">
      <c r="A692" s="208"/>
      <c r="B692" s="209" t="s">
        <v>2868</v>
      </c>
      <c r="C692" s="211" t="s">
        <v>1603</v>
      </c>
      <c r="D692" s="209" t="s">
        <v>1212</v>
      </c>
      <c r="E692" s="212">
        <v>2.0099999999999998</v>
      </c>
      <c r="F692" s="212" t="s">
        <v>319</v>
      </c>
      <c r="G692" s="209"/>
      <c r="I692" s="212"/>
      <c r="J692" s="212"/>
      <c r="K692" s="212"/>
    </row>
    <row r="693" spans="1:11">
      <c r="A693" s="208"/>
      <c r="B693" s="209" t="s">
        <v>2868</v>
      </c>
      <c r="C693" s="211" t="s">
        <v>5594</v>
      </c>
      <c r="D693" s="209" t="s">
        <v>5595</v>
      </c>
      <c r="E693" s="212" t="s">
        <v>1658</v>
      </c>
      <c r="F693" s="212" t="s">
        <v>5419</v>
      </c>
      <c r="G693" s="209"/>
      <c r="I693" s="212"/>
      <c r="J693" s="212"/>
      <c r="K693" s="212"/>
    </row>
    <row r="694" spans="1:11">
      <c r="A694" s="208"/>
      <c r="B694" s="209" t="s">
        <v>2868</v>
      </c>
      <c r="C694" s="211" t="s">
        <v>5615</v>
      </c>
      <c r="D694" s="209" t="s">
        <v>5595</v>
      </c>
      <c r="E694" s="212" t="s">
        <v>454</v>
      </c>
      <c r="F694" s="212" t="s">
        <v>5419</v>
      </c>
      <c r="G694" s="212"/>
      <c r="H694" s="215"/>
      <c r="I694" s="209"/>
      <c r="J694" s="209"/>
      <c r="K694" s="209"/>
    </row>
    <row r="695" spans="1:11">
      <c r="A695" s="208"/>
      <c r="B695" s="209" t="s">
        <v>2868</v>
      </c>
      <c r="C695" s="211" t="s">
        <v>4194</v>
      </c>
      <c r="D695" s="209" t="s">
        <v>1213</v>
      </c>
      <c r="E695" s="212">
        <v>2.4700000000000002</v>
      </c>
      <c r="F695" s="212" t="s">
        <v>2377</v>
      </c>
      <c r="G695" s="209"/>
      <c r="H695" s="215"/>
      <c r="I695" s="212"/>
      <c r="J695" s="212"/>
      <c r="K695" s="212"/>
    </row>
    <row r="696" spans="1:11">
      <c r="A696" s="208"/>
      <c r="B696" s="209" t="s">
        <v>2868</v>
      </c>
      <c r="C696" s="211" t="s">
        <v>1604</v>
      </c>
      <c r="D696" s="209" t="s">
        <v>1214</v>
      </c>
      <c r="E696" s="212">
        <v>1.86</v>
      </c>
      <c r="F696" s="212" t="s">
        <v>341</v>
      </c>
      <c r="G696" s="209"/>
      <c r="H696" s="215"/>
      <c r="I696" s="212"/>
      <c r="J696" s="212"/>
      <c r="K696" s="212"/>
    </row>
    <row r="697" spans="1:11">
      <c r="A697" s="208"/>
      <c r="B697" s="209" t="s">
        <v>2868</v>
      </c>
      <c r="C697" s="211" t="s">
        <v>1605</v>
      </c>
      <c r="D697" s="212">
        <v>14.04</v>
      </c>
      <c r="E697" s="212">
        <v>2.35</v>
      </c>
      <c r="F697" s="212" t="s">
        <v>341</v>
      </c>
      <c r="G697" s="209"/>
      <c r="H697" s="215"/>
      <c r="I697" s="209"/>
      <c r="J697" s="209"/>
      <c r="K697" s="209"/>
    </row>
    <row r="698" spans="1:11">
      <c r="A698" s="208"/>
      <c r="B698" s="209" t="s">
        <v>2868</v>
      </c>
      <c r="C698" s="211" t="s">
        <v>4195</v>
      </c>
      <c r="D698" s="212">
        <v>19.66</v>
      </c>
      <c r="E698" s="212">
        <v>3.24</v>
      </c>
      <c r="F698" s="209" t="s">
        <v>2347</v>
      </c>
      <c r="G698" s="209"/>
      <c r="H698" s="215"/>
      <c r="I698" s="212"/>
      <c r="J698" s="212"/>
      <c r="K698" s="212"/>
    </row>
    <row r="699" spans="1:11">
      <c r="A699" s="208"/>
      <c r="B699" s="209" t="s">
        <v>2868</v>
      </c>
      <c r="C699" s="211" t="s">
        <v>2788</v>
      </c>
      <c r="D699" s="209" t="s">
        <v>798</v>
      </c>
      <c r="E699" s="209" t="s">
        <v>799</v>
      </c>
      <c r="F699" s="209" t="s">
        <v>3000</v>
      </c>
      <c r="G699" s="209"/>
      <c r="H699" s="215"/>
      <c r="I699" s="209"/>
      <c r="J699" s="209"/>
      <c r="K699" s="209"/>
    </row>
    <row r="700" spans="1:11">
      <c r="A700" s="208"/>
      <c r="B700" s="209" t="s">
        <v>2868</v>
      </c>
      <c r="C700" s="211" t="s">
        <v>2789</v>
      </c>
      <c r="D700" s="212">
        <v>8</v>
      </c>
      <c r="E700" s="212">
        <v>1.49</v>
      </c>
      <c r="F700" s="212" t="s">
        <v>353</v>
      </c>
      <c r="G700" s="209"/>
      <c r="H700" s="215"/>
      <c r="I700" s="209"/>
      <c r="J700" s="209"/>
      <c r="K700" s="209"/>
    </row>
    <row r="701" spans="1:11">
      <c r="A701" s="208"/>
      <c r="B701" s="209" t="s">
        <v>2868</v>
      </c>
      <c r="C701" s="211" t="s">
        <v>581</v>
      </c>
      <c r="D701" s="209" t="s">
        <v>582</v>
      </c>
      <c r="E701" s="209" t="s">
        <v>1998</v>
      </c>
      <c r="F701" s="209" t="s">
        <v>1113</v>
      </c>
      <c r="G701" s="209"/>
      <c r="H701" s="215"/>
      <c r="I701" s="209"/>
      <c r="J701" s="209"/>
      <c r="K701" s="209"/>
    </row>
    <row r="702" spans="1:11">
      <c r="A702" s="208"/>
      <c r="B702" s="209" t="s">
        <v>2868</v>
      </c>
      <c r="C702" s="211" t="s">
        <v>1606</v>
      </c>
      <c r="D702" s="212">
        <v>9.14</v>
      </c>
      <c r="E702" s="212">
        <v>1.79</v>
      </c>
      <c r="F702" s="212" t="s">
        <v>3539</v>
      </c>
      <c r="G702" s="209"/>
      <c r="H702" s="215"/>
      <c r="I702" s="209"/>
      <c r="J702" s="209"/>
      <c r="K702" s="209"/>
    </row>
    <row r="703" spans="1:11">
      <c r="A703" s="208"/>
      <c r="B703" s="209" t="s">
        <v>2868</v>
      </c>
      <c r="C703" s="211" t="s">
        <v>1607</v>
      </c>
      <c r="D703" s="212">
        <v>9.14</v>
      </c>
      <c r="E703" s="212">
        <v>1.9</v>
      </c>
      <c r="F703" s="212" t="s">
        <v>3539</v>
      </c>
      <c r="G703" s="209"/>
      <c r="H703" s="215"/>
      <c r="I703" s="209"/>
      <c r="J703" s="209"/>
      <c r="K703" s="209"/>
    </row>
    <row r="704" spans="1:11">
      <c r="A704" s="208"/>
      <c r="B704" s="209" t="s">
        <v>2868</v>
      </c>
      <c r="C704" s="211" t="s">
        <v>4196</v>
      </c>
      <c r="D704" s="212">
        <v>9.51</v>
      </c>
      <c r="E704" s="212">
        <v>1.68</v>
      </c>
      <c r="F704" s="209" t="s">
        <v>2346</v>
      </c>
      <c r="G704" s="212"/>
      <c r="I704" s="209"/>
      <c r="J704" s="209"/>
      <c r="K704" s="209"/>
    </row>
    <row r="705" spans="1:11">
      <c r="A705" s="208"/>
      <c r="B705" s="209" t="s">
        <v>2868</v>
      </c>
      <c r="C705" s="211" t="s">
        <v>4197</v>
      </c>
      <c r="D705" s="209" t="s">
        <v>1215</v>
      </c>
      <c r="E705" s="212">
        <v>1.92</v>
      </c>
      <c r="F705" s="209" t="s">
        <v>2346</v>
      </c>
      <c r="G705" s="209"/>
      <c r="H705" s="215"/>
      <c r="I705" s="212"/>
      <c r="J705" s="212"/>
      <c r="K705" s="212"/>
    </row>
    <row r="706" spans="1:11">
      <c r="A706" s="208"/>
      <c r="B706" s="209" t="s">
        <v>2868</v>
      </c>
      <c r="C706" s="211" t="s">
        <v>5306</v>
      </c>
      <c r="D706" s="209" t="s">
        <v>5307</v>
      </c>
      <c r="E706" s="212" t="s">
        <v>448</v>
      </c>
      <c r="F706" s="209" t="s">
        <v>4660</v>
      </c>
      <c r="G706" s="209"/>
      <c r="H706" s="215"/>
      <c r="I706" s="209"/>
      <c r="J706" s="209"/>
      <c r="K706" s="209"/>
    </row>
    <row r="707" spans="1:11">
      <c r="A707" s="208"/>
      <c r="B707" s="209" t="s">
        <v>2868</v>
      </c>
      <c r="C707" s="211" t="s">
        <v>5308</v>
      </c>
      <c r="D707" s="209" t="s">
        <v>5307</v>
      </c>
      <c r="E707" s="212" t="s">
        <v>407</v>
      </c>
      <c r="F707" s="209" t="s">
        <v>4660</v>
      </c>
      <c r="G707" s="209"/>
      <c r="I707" s="209"/>
      <c r="J707" s="209"/>
      <c r="K707" s="209"/>
    </row>
    <row r="708" spans="1:11">
      <c r="A708" s="208"/>
      <c r="B708" s="209" t="s">
        <v>2868</v>
      </c>
      <c r="C708" s="211" t="s">
        <v>5309</v>
      </c>
      <c r="D708" s="209" t="s">
        <v>5307</v>
      </c>
      <c r="E708" s="212" t="s">
        <v>407</v>
      </c>
      <c r="F708" s="209" t="s">
        <v>4660</v>
      </c>
      <c r="G708" s="209"/>
      <c r="H708" s="215"/>
      <c r="I708" s="212"/>
      <c r="J708" s="212"/>
      <c r="K708" s="212"/>
    </row>
    <row r="709" spans="1:11">
      <c r="A709" s="208"/>
      <c r="B709" s="209" t="s">
        <v>2869</v>
      </c>
      <c r="C709" s="211" t="s">
        <v>4198</v>
      </c>
      <c r="D709" s="212">
        <v>6.52</v>
      </c>
      <c r="E709" s="209" t="s">
        <v>305</v>
      </c>
      <c r="F709" s="212" t="s">
        <v>3527</v>
      </c>
      <c r="G709" s="209"/>
      <c r="I709" s="212"/>
      <c r="J709" s="212"/>
      <c r="K709" s="212"/>
    </row>
    <row r="710" spans="1:11">
      <c r="A710" s="208"/>
      <c r="B710" s="209" t="s">
        <v>2869</v>
      </c>
      <c r="C710" s="211" t="s">
        <v>4199</v>
      </c>
      <c r="D710" s="212">
        <v>6.55</v>
      </c>
      <c r="E710" s="209" t="s">
        <v>305</v>
      </c>
      <c r="F710" s="212" t="s">
        <v>3510</v>
      </c>
      <c r="G710" s="212"/>
      <c r="I710" s="209"/>
      <c r="J710" s="209"/>
      <c r="K710" s="209"/>
    </row>
    <row r="711" spans="1:11">
      <c r="A711" s="208"/>
      <c r="B711" s="209" t="s">
        <v>2870</v>
      </c>
      <c r="C711" s="211" t="s">
        <v>1651</v>
      </c>
      <c r="D711" s="209" t="s">
        <v>2078</v>
      </c>
      <c r="E711" s="209" t="s">
        <v>1652</v>
      </c>
      <c r="F711" s="209" t="s">
        <v>306</v>
      </c>
      <c r="G711" s="212"/>
      <c r="I711" s="209"/>
      <c r="J711" s="209"/>
      <c r="K711" s="209"/>
    </row>
    <row r="712" spans="1:11">
      <c r="A712" s="208"/>
      <c r="B712" s="209" t="s">
        <v>2870</v>
      </c>
      <c r="C712" s="211" t="s">
        <v>4200</v>
      </c>
      <c r="D712" s="212">
        <v>10.6</v>
      </c>
      <c r="E712" s="212">
        <v>1.95</v>
      </c>
      <c r="F712" s="212" t="s">
        <v>308</v>
      </c>
      <c r="G712" s="212"/>
      <c r="I712" s="209"/>
      <c r="J712" s="209"/>
      <c r="K712" s="209"/>
    </row>
    <row r="713" spans="1:11">
      <c r="A713" s="208"/>
      <c r="B713" s="209" t="s">
        <v>2870</v>
      </c>
      <c r="C713" s="211" t="s">
        <v>2793</v>
      </c>
      <c r="D713" s="212">
        <v>10.17</v>
      </c>
      <c r="E713" s="212">
        <v>1.9</v>
      </c>
      <c r="F713" s="212" t="s">
        <v>3510</v>
      </c>
      <c r="G713" s="212"/>
      <c r="I713" s="209"/>
      <c r="J713" s="209"/>
      <c r="K713" s="209"/>
    </row>
    <row r="714" spans="1:11">
      <c r="A714" s="208"/>
      <c r="B714" s="209" t="s">
        <v>2870</v>
      </c>
      <c r="C714" s="211" t="s">
        <v>254</v>
      </c>
      <c r="D714" s="212">
        <v>10.87</v>
      </c>
      <c r="E714" s="212">
        <v>1.87</v>
      </c>
      <c r="F714" s="209" t="s">
        <v>3560</v>
      </c>
      <c r="G714" s="212"/>
      <c r="I714" s="209"/>
      <c r="J714" s="209"/>
      <c r="K714" s="209"/>
    </row>
    <row r="715" spans="1:11">
      <c r="A715" s="208"/>
      <c r="B715" s="209" t="s">
        <v>2870</v>
      </c>
      <c r="C715" s="211" t="s">
        <v>2153</v>
      </c>
      <c r="D715" s="212">
        <v>6.2</v>
      </c>
      <c r="E715" s="209" t="s">
        <v>305</v>
      </c>
      <c r="F715" s="212" t="s">
        <v>343</v>
      </c>
      <c r="G715" s="212"/>
      <c r="H715" s="215"/>
      <c r="I715" s="209"/>
      <c r="J715" s="209"/>
      <c r="K715" s="209"/>
    </row>
    <row r="716" spans="1:11">
      <c r="A716" s="208"/>
      <c r="B716" s="209" t="s">
        <v>2870</v>
      </c>
      <c r="C716" s="211" t="s">
        <v>2154</v>
      </c>
      <c r="D716" s="209" t="s">
        <v>1256</v>
      </c>
      <c r="E716" s="212">
        <v>1.95</v>
      </c>
      <c r="F716" s="212" t="s">
        <v>329</v>
      </c>
      <c r="G716" s="212"/>
      <c r="I716" s="209"/>
      <c r="J716" s="209"/>
      <c r="K716" s="209"/>
    </row>
    <row r="717" spans="1:11">
      <c r="A717" s="208"/>
      <c r="B717" s="209" t="s">
        <v>2870</v>
      </c>
      <c r="C717" s="211" t="s">
        <v>2155</v>
      </c>
      <c r="D717" s="212">
        <v>10.8</v>
      </c>
      <c r="E717" s="212">
        <v>1.95</v>
      </c>
      <c r="F717" s="212" t="s">
        <v>329</v>
      </c>
      <c r="G717" s="212"/>
      <c r="I717" s="212"/>
      <c r="J717" s="212"/>
      <c r="K717" s="212"/>
    </row>
    <row r="718" spans="1:11">
      <c r="A718" s="208"/>
      <c r="B718" s="209" t="s">
        <v>2870</v>
      </c>
      <c r="C718" s="211" t="s">
        <v>2156</v>
      </c>
      <c r="D718" s="212">
        <v>8.25</v>
      </c>
      <c r="E718" s="212">
        <v>1.64</v>
      </c>
      <c r="F718" s="212" t="s">
        <v>2980</v>
      </c>
      <c r="G718" s="212"/>
      <c r="H718" s="215"/>
      <c r="I718" s="209"/>
      <c r="J718" s="209"/>
      <c r="K718" s="209"/>
    </row>
    <row r="719" spans="1:11">
      <c r="A719" s="208"/>
      <c r="B719" s="209" t="s">
        <v>2870</v>
      </c>
      <c r="C719" s="211" t="s">
        <v>2157</v>
      </c>
      <c r="D719" s="212">
        <v>8.25</v>
      </c>
      <c r="E719" s="212">
        <v>1.9</v>
      </c>
      <c r="F719" s="212" t="s">
        <v>2980</v>
      </c>
      <c r="G719" s="212"/>
      <c r="H719" s="215"/>
      <c r="I719" s="209"/>
      <c r="J719" s="209"/>
      <c r="K719" s="209"/>
    </row>
    <row r="720" spans="1:11">
      <c r="A720" s="208"/>
      <c r="B720" s="209" t="s">
        <v>2870</v>
      </c>
      <c r="C720" s="211" t="s">
        <v>2158</v>
      </c>
      <c r="D720" s="212">
        <v>6.1</v>
      </c>
      <c r="E720" s="209" t="s">
        <v>305</v>
      </c>
      <c r="F720" s="212" t="s">
        <v>353</v>
      </c>
      <c r="G720" s="209"/>
      <c r="I720" s="209"/>
      <c r="J720" s="209"/>
      <c r="K720" s="209"/>
    </row>
    <row r="721" spans="1:11">
      <c r="A721" s="208"/>
      <c r="B721" s="209" t="s">
        <v>2870</v>
      </c>
      <c r="C721" s="211" t="s">
        <v>5562</v>
      </c>
      <c r="D721" s="212" t="s">
        <v>5563</v>
      </c>
      <c r="E721" s="209" t="s">
        <v>448</v>
      </c>
      <c r="F721" s="212" t="s">
        <v>5564</v>
      </c>
      <c r="G721" s="212"/>
      <c r="I721" s="212"/>
      <c r="J721" s="212"/>
      <c r="K721" s="212"/>
    </row>
    <row r="722" spans="1:11">
      <c r="A722" s="208"/>
      <c r="B722" s="209" t="s">
        <v>2870</v>
      </c>
      <c r="C722" s="211" t="s">
        <v>2159</v>
      </c>
      <c r="D722" s="212">
        <v>9.1999999999999993</v>
      </c>
      <c r="E722" s="212">
        <v>1.75</v>
      </c>
      <c r="F722" s="212" t="s">
        <v>2340</v>
      </c>
      <c r="G722" s="212"/>
      <c r="I722" s="212"/>
      <c r="J722" s="212"/>
      <c r="K722" s="212"/>
    </row>
    <row r="723" spans="1:11">
      <c r="A723" s="208"/>
      <c r="B723" s="209" t="s">
        <v>2870</v>
      </c>
      <c r="C723" s="211" t="s">
        <v>2160</v>
      </c>
      <c r="D723" s="212">
        <v>9.32</v>
      </c>
      <c r="E723" s="212">
        <v>1.95</v>
      </c>
      <c r="F723" s="212" t="s">
        <v>2341</v>
      </c>
      <c r="G723" s="209"/>
      <c r="I723" s="212"/>
      <c r="J723" s="212"/>
      <c r="K723" s="212"/>
    </row>
    <row r="724" spans="1:11">
      <c r="A724" s="208"/>
      <c r="B724" s="209" t="s">
        <v>2870</v>
      </c>
      <c r="C724" s="211" t="s">
        <v>2162</v>
      </c>
      <c r="D724" s="212">
        <v>9.7799999999999994</v>
      </c>
      <c r="E724" s="212">
        <v>1.9</v>
      </c>
      <c r="F724" s="209" t="s">
        <v>2348</v>
      </c>
      <c r="G724" s="212"/>
      <c r="I724" s="209"/>
      <c r="J724" s="209"/>
      <c r="K724" s="209"/>
    </row>
    <row r="725" spans="1:11">
      <c r="A725" s="208"/>
      <c r="B725" s="209" t="s">
        <v>2870</v>
      </c>
      <c r="C725" s="211" t="s">
        <v>5310</v>
      </c>
      <c r="D725" s="212" t="s">
        <v>2044</v>
      </c>
      <c r="E725" s="212" t="s">
        <v>1998</v>
      </c>
      <c r="F725" s="209" t="s">
        <v>5297</v>
      </c>
      <c r="G725" s="209"/>
      <c r="I725" s="209"/>
      <c r="J725" s="209"/>
      <c r="K725" s="209"/>
    </row>
    <row r="726" spans="1:11">
      <c r="A726" s="208"/>
      <c r="B726" s="209" t="s">
        <v>2870</v>
      </c>
      <c r="C726" s="211" t="s">
        <v>5311</v>
      </c>
      <c r="D726" s="212" t="s">
        <v>2044</v>
      </c>
      <c r="E726" s="212" t="s">
        <v>1998</v>
      </c>
      <c r="F726" s="209" t="s">
        <v>5297</v>
      </c>
      <c r="G726" s="209"/>
      <c r="I726" s="209"/>
      <c r="J726" s="209"/>
      <c r="K726" s="209"/>
    </row>
    <row r="727" spans="1:11">
      <c r="A727" s="208"/>
      <c r="B727" s="209" t="s">
        <v>2870</v>
      </c>
      <c r="C727" s="211" t="s">
        <v>2161</v>
      </c>
      <c r="D727" s="212">
        <v>9.4499999999999993</v>
      </c>
      <c r="E727" s="212">
        <v>1.98</v>
      </c>
      <c r="F727" s="212" t="s">
        <v>2359</v>
      </c>
      <c r="G727" s="209"/>
      <c r="H727" s="215"/>
      <c r="I727" s="209"/>
      <c r="J727" s="209"/>
      <c r="K727" s="209"/>
    </row>
    <row r="728" spans="1:11">
      <c r="A728" s="208"/>
      <c r="B728" s="209" t="s">
        <v>2870</v>
      </c>
      <c r="C728" s="211" t="s">
        <v>2163</v>
      </c>
      <c r="D728" s="212">
        <v>10.43</v>
      </c>
      <c r="E728" s="212">
        <v>2.15</v>
      </c>
      <c r="F728" s="212" t="s">
        <v>2345</v>
      </c>
      <c r="G728" s="209"/>
      <c r="I728" s="212"/>
      <c r="J728" s="212"/>
      <c r="K728" s="212"/>
    </row>
    <row r="729" spans="1:11">
      <c r="A729" s="208"/>
      <c r="B729" s="209" t="s">
        <v>2870</v>
      </c>
      <c r="C729" s="211" t="s">
        <v>1608</v>
      </c>
      <c r="D729" s="212">
        <v>11.11</v>
      </c>
      <c r="E729" s="212">
        <v>1.96</v>
      </c>
      <c r="F729" s="212" t="s">
        <v>3539</v>
      </c>
      <c r="G729" s="209"/>
      <c r="I729" s="212"/>
      <c r="J729" s="212"/>
      <c r="K729" s="212"/>
    </row>
    <row r="730" spans="1:11">
      <c r="A730" s="208"/>
      <c r="B730" s="209" t="s">
        <v>2870</v>
      </c>
      <c r="C730" s="211" t="s">
        <v>456</v>
      </c>
      <c r="D730" s="209" t="s">
        <v>1257</v>
      </c>
      <c r="E730" s="209" t="s">
        <v>457</v>
      </c>
      <c r="F730" s="212" t="s">
        <v>3539</v>
      </c>
      <c r="G730" s="209"/>
      <c r="I730" s="212"/>
      <c r="J730" s="212"/>
      <c r="K730" s="212"/>
    </row>
    <row r="731" spans="1:11">
      <c r="A731" s="208"/>
      <c r="B731" s="209" t="s">
        <v>2870</v>
      </c>
      <c r="C731" s="211" t="s">
        <v>586</v>
      </c>
      <c r="D731" s="209" t="s">
        <v>568</v>
      </c>
      <c r="E731" s="209" t="s">
        <v>445</v>
      </c>
      <c r="F731" s="209" t="s">
        <v>1113</v>
      </c>
      <c r="G731" s="209"/>
      <c r="H731" s="215"/>
      <c r="I731" s="212"/>
      <c r="J731" s="212"/>
      <c r="K731" s="209"/>
    </row>
    <row r="732" spans="1:11">
      <c r="A732" s="208"/>
      <c r="B732" s="209" t="s">
        <v>2870</v>
      </c>
      <c r="C732" s="211" t="s">
        <v>2164</v>
      </c>
      <c r="D732" s="212">
        <v>10.95</v>
      </c>
      <c r="E732" s="212">
        <v>2.0699999999999998</v>
      </c>
      <c r="F732" s="212" t="s">
        <v>341</v>
      </c>
      <c r="G732" s="209"/>
      <c r="H732" s="215"/>
      <c r="I732" s="209"/>
      <c r="J732" s="209"/>
      <c r="K732" s="209"/>
    </row>
    <row r="733" spans="1:11">
      <c r="A733" s="208"/>
      <c r="B733" s="209" t="s">
        <v>2870</v>
      </c>
      <c r="C733" s="211" t="s">
        <v>458</v>
      </c>
      <c r="D733" s="209" t="s">
        <v>1256</v>
      </c>
      <c r="E733" s="209" t="s">
        <v>1998</v>
      </c>
      <c r="F733" s="209" t="s">
        <v>329</v>
      </c>
      <c r="G733" s="212"/>
      <c r="H733" s="215"/>
      <c r="I733" s="209"/>
      <c r="J733" s="209"/>
      <c r="K733" s="209"/>
    </row>
    <row r="734" spans="1:11">
      <c r="A734" s="208"/>
      <c r="B734" s="209" t="s">
        <v>2870</v>
      </c>
      <c r="C734" s="211" t="s">
        <v>2165</v>
      </c>
      <c r="D734" s="212">
        <v>11.75</v>
      </c>
      <c r="E734" s="212">
        <v>2.4</v>
      </c>
      <c r="F734" s="212" t="s">
        <v>2344</v>
      </c>
      <c r="G734" s="209"/>
      <c r="I734" s="212"/>
      <c r="J734" s="212"/>
      <c r="K734" s="212"/>
    </row>
    <row r="735" spans="1:11">
      <c r="A735" s="208"/>
      <c r="B735" s="209" t="s">
        <v>2870</v>
      </c>
      <c r="C735" s="211" t="s">
        <v>2166</v>
      </c>
      <c r="D735" s="212">
        <v>11.75</v>
      </c>
      <c r="E735" s="212">
        <v>2.1</v>
      </c>
      <c r="F735" s="212" t="s">
        <v>2347</v>
      </c>
      <c r="G735" s="209"/>
      <c r="I735" s="209"/>
      <c r="J735" s="209"/>
      <c r="K735" s="209"/>
    </row>
    <row r="736" spans="1:11">
      <c r="A736" s="208"/>
      <c r="B736" s="209" t="s">
        <v>2870</v>
      </c>
      <c r="C736" s="211" t="s">
        <v>3970</v>
      </c>
      <c r="D736" s="212">
        <v>12.43</v>
      </c>
      <c r="E736" s="212">
        <v>2.2999999999999998</v>
      </c>
      <c r="F736" s="212" t="s">
        <v>319</v>
      </c>
      <c r="G736" s="212"/>
      <c r="I736" s="212"/>
      <c r="J736" s="212"/>
      <c r="K736" s="212"/>
    </row>
    <row r="737" spans="1:11">
      <c r="A737" s="208"/>
      <c r="B737" s="209" t="s">
        <v>2870</v>
      </c>
      <c r="C737" s="211" t="s">
        <v>3971</v>
      </c>
      <c r="D737" s="212">
        <v>12.8</v>
      </c>
      <c r="E737" s="212">
        <v>2.5499999999999998</v>
      </c>
      <c r="F737" s="212" t="s">
        <v>2359</v>
      </c>
      <c r="G737" s="212"/>
      <c r="I737" s="209"/>
      <c r="J737" s="209"/>
      <c r="K737" s="209"/>
    </row>
    <row r="738" spans="1:11">
      <c r="A738" s="208"/>
      <c r="B738" s="209" t="s">
        <v>2870</v>
      </c>
      <c r="C738" s="211" t="s">
        <v>3972</v>
      </c>
      <c r="D738" s="212">
        <v>15.52</v>
      </c>
      <c r="E738" s="212">
        <v>2.75</v>
      </c>
      <c r="F738" s="212" t="s">
        <v>308</v>
      </c>
      <c r="G738" s="209"/>
      <c r="H738" s="215"/>
      <c r="I738" s="212"/>
      <c r="J738" s="212"/>
      <c r="K738" s="212"/>
    </row>
    <row r="739" spans="1:11">
      <c r="A739" s="208"/>
      <c r="B739" s="209" t="s">
        <v>2870</v>
      </c>
      <c r="C739" s="211" t="s">
        <v>3973</v>
      </c>
      <c r="D739" s="209" t="s">
        <v>1984</v>
      </c>
      <c r="E739" s="212">
        <v>1.96</v>
      </c>
      <c r="F739" s="212" t="s">
        <v>2370</v>
      </c>
      <c r="G739" s="209"/>
      <c r="H739" s="215"/>
      <c r="I739" s="209"/>
      <c r="J739" s="209"/>
      <c r="K739" s="209"/>
    </row>
    <row r="740" spans="1:11">
      <c r="A740" s="208"/>
      <c r="B740" s="209" t="s">
        <v>2870</v>
      </c>
      <c r="C740" s="211" t="s">
        <v>3974</v>
      </c>
      <c r="D740" s="212">
        <v>12.3</v>
      </c>
      <c r="E740" s="212">
        <v>1.95</v>
      </c>
      <c r="F740" s="212" t="s">
        <v>2370</v>
      </c>
      <c r="G740" s="209"/>
      <c r="H740" s="215"/>
      <c r="I740" s="209"/>
      <c r="J740" s="209"/>
      <c r="K740" s="209"/>
    </row>
    <row r="741" spans="1:11">
      <c r="A741" s="208"/>
      <c r="B741" s="209" t="s">
        <v>2870</v>
      </c>
      <c r="C741" s="211" t="s">
        <v>3975</v>
      </c>
      <c r="D741" s="209" t="s">
        <v>1984</v>
      </c>
      <c r="E741" s="209" t="s">
        <v>305</v>
      </c>
      <c r="F741" s="212" t="s">
        <v>2370</v>
      </c>
      <c r="G741" s="209"/>
      <c r="H741" s="215"/>
      <c r="I741" s="212"/>
      <c r="J741" s="212"/>
      <c r="K741" s="212"/>
    </row>
    <row r="742" spans="1:11">
      <c r="A742" s="208"/>
      <c r="B742" s="209" t="s">
        <v>2870</v>
      </c>
      <c r="C742" s="211" t="s">
        <v>3976</v>
      </c>
      <c r="D742" s="209" t="s">
        <v>2016</v>
      </c>
      <c r="E742" s="212">
        <v>2.13</v>
      </c>
      <c r="F742" s="212" t="s">
        <v>2370</v>
      </c>
      <c r="G742" s="209"/>
      <c r="I742" s="212"/>
      <c r="J742" s="212"/>
      <c r="K742" s="212"/>
    </row>
    <row r="743" spans="1:11">
      <c r="A743" s="208"/>
      <c r="B743" s="209" t="s">
        <v>2870</v>
      </c>
      <c r="C743" s="211" t="s">
        <v>3977</v>
      </c>
      <c r="D743" s="209" t="s">
        <v>2016</v>
      </c>
      <c r="E743" s="209" t="s">
        <v>305</v>
      </c>
      <c r="F743" s="212" t="s">
        <v>2370</v>
      </c>
      <c r="G743" s="209"/>
      <c r="I743" s="209"/>
      <c r="J743" s="209"/>
      <c r="K743" s="209"/>
    </row>
    <row r="744" spans="1:11">
      <c r="A744" s="208"/>
      <c r="B744" s="209" t="s">
        <v>2870</v>
      </c>
      <c r="C744" s="211" t="s">
        <v>3978</v>
      </c>
      <c r="D744" s="212">
        <v>13.9</v>
      </c>
      <c r="E744" s="212">
        <v>2.1</v>
      </c>
      <c r="F744" s="212" t="s">
        <v>2980</v>
      </c>
      <c r="G744" s="209"/>
      <c r="H744" s="215"/>
      <c r="I744" s="209"/>
      <c r="J744" s="209"/>
      <c r="K744" s="209"/>
    </row>
    <row r="745" spans="1:11">
      <c r="A745" s="208"/>
      <c r="B745" s="209" t="s">
        <v>2870</v>
      </c>
      <c r="C745" s="211" t="s">
        <v>3979</v>
      </c>
      <c r="D745" s="212">
        <v>12.25</v>
      </c>
      <c r="E745" s="212">
        <v>1.95</v>
      </c>
      <c r="F745" s="212" t="s">
        <v>2980</v>
      </c>
      <c r="G745" s="212"/>
      <c r="I745" s="209"/>
      <c r="J745" s="209"/>
      <c r="K745" s="209"/>
    </row>
    <row r="746" spans="1:11">
      <c r="A746" s="208"/>
      <c r="B746" s="209" t="s">
        <v>2870</v>
      </c>
      <c r="C746" s="211" t="s">
        <v>3980</v>
      </c>
      <c r="D746" s="212">
        <v>8.9</v>
      </c>
      <c r="E746" s="212">
        <v>1.45</v>
      </c>
      <c r="F746" s="212" t="s">
        <v>2980</v>
      </c>
      <c r="G746" s="209"/>
      <c r="H746" s="215"/>
      <c r="I746" s="209"/>
      <c r="J746" s="209"/>
      <c r="K746" s="209"/>
    </row>
    <row r="747" spans="1:11">
      <c r="A747" s="208"/>
      <c r="B747" s="209" t="s">
        <v>2870</v>
      </c>
      <c r="C747" s="211" t="s">
        <v>3981</v>
      </c>
      <c r="D747" s="212">
        <v>13.1</v>
      </c>
      <c r="E747" s="212">
        <v>2.12</v>
      </c>
      <c r="F747" s="212" t="s">
        <v>324</v>
      </c>
      <c r="G747" s="209"/>
      <c r="I747" s="212"/>
      <c r="J747" s="212"/>
      <c r="K747" s="212"/>
    </row>
    <row r="748" spans="1:11">
      <c r="A748" s="208"/>
      <c r="B748" s="209" t="s">
        <v>2870</v>
      </c>
      <c r="C748" s="211" t="s">
        <v>5644</v>
      </c>
      <c r="D748" s="212">
        <v>13.25</v>
      </c>
      <c r="E748" s="212">
        <v>2.1</v>
      </c>
      <c r="F748" s="212" t="s">
        <v>324</v>
      </c>
      <c r="G748" s="209"/>
      <c r="H748" s="215"/>
      <c r="I748" s="212"/>
      <c r="J748" s="212"/>
      <c r="K748" s="212"/>
    </row>
    <row r="749" spans="1:11">
      <c r="A749" s="208"/>
      <c r="B749" s="209" t="s">
        <v>2870</v>
      </c>
      <c r="C749" s="211" t="s">
        <v>3983</v>
      </c>
      <c r="D749" s="212">
        <v>9.3000000000000007</v>
      </c>
      <c r="E749" s="212">
        <v>1.45</v>
      </c>
      <c r="F749" s="212" t="s">
        <v>2344</v>
      </c>
      <c r="G749" s="209"/>
      <c r="I749" s="209"/>
      <c r="J749" s="209"/>
      <c r="K749" s="209"/>
    </row>
    <row r="750" spans="1:11">
      <c r="A750" s="208"/>
      <c r="B750" s="209" t="s">
        <v>2870</v>
      </c>
      <c r="C750" s="211" t="s">
        <v>3982</v>
      </c>
      <c r="D750" s="212">
        <v>9.6</v>
      </c>
      <c r="E750" s="212">
        <v>2</v>
      </c>
      <c r="F750" s="209" t="s">
        <v>2348</v>
      </c>
      <c r="G750" s="212"/>
      <c r="I750" s="212"/>
      <c r="J750" s="212"/>
      <c r="K750" s="212"/>
    </row>
    <row r="751" spans="1:11">
      <c r="A751" s="208"/>
      <c r="B751" s="209" t="s">
        <v>2870</v>
      </c>
      <c r="C751" s="211" t="s">
        <v>3985</v>
      </c>
      <c r="D751" s="212">
        <v>9.98</v>
      </c>
      <c r="E751" s="212">
        <v>1.97</v>
      </c>
      <c r="F751" s="212" t="s">
        <v>353</v>
      </c>
      <c r="G751" s="212"/>
      <c r="H751" s="215"/>
      <c r="I751" s="212"/>
      <c r="J751" s="212"/>
      <c r="K751" s="212"/>
    </row>
    <row r="752" spans="1:11">
      <c r="A752" s="208"/>
      <c r="B752" s="209" t="s">
        <v>2870</v>
      </c>
      <c r="C752" s="211" t="s">
        <v>3984</v>
      </c>
      <c r="D752" s="212">
        <v>9.74</v>
      </c>
      <c r="E752" s="212">
        <v>1.9</v>
      </c>
      <c r="F752" s="209" t="s">
        <v>2346</v>
      </c>
      <c r="G752" s="212"/>
      <c r="H752" s="215"/>
      <c r="I752" s="209"/>
      <c r="J752" s="209"/>
      <c r="K752" s="209"/>
    </row>
    <row r="753" spans="1:11">
      <c r="A753" s="208"/>
      <c r="B753" s="209" t="s">
        <v>2870</v>
      </c>
      <c r="C753" s="211" t="s">
        <v>1610</v>
      </c>
      <c r="D753" s="212">
        <v>9.99</v>
      </c>
      <c r="E753" s="212">
        <v>1.3</v>
      </c>
      <c r="F753" s="212" t="s">
        <v>2339</v>
      </c>
      <c r="G753" s="212"/>
      <c r="I753" s="209"/>
      <c r="J753" s="209"/>
      <c r="K753" s="209"/>
    </row>
    <row r="754" spans="1:11">
      <c r="A754" s="208"/>
      <c r="B754" s="209" t="s">
        <v>2870</v>
      </c>
      <c r="C754" s="211" t="s">
        <v>1609</v>
      </c>
      <c r="D754" s="212">
        <v>9.99</v>
      </c>
      <c r="E754" s="212">
        <v>1.7</v>
      </c>
      <c r="F754" s="212" t="s">
        <v>2339</v>
      </c>
      <c r="G754" s="209"/>
      <c r="I754" s="209"/>
      <c r="J754" s="209"/>
      <c r="K754" s="209"/>
    </row>
    <row r="755" spans="1:11">
      <c r="A755" s="208"/>
      <c r="B755" s="209" t="s">
        <v>2870</v>
      </c>
      <c r="C755" s="211" t="s">
        <v>1612</v>
      </c>
      <c r="D755" s="212">
        <v>10.43</v>
      </c>
      <c r="E755" s="212">
        <v>1.45</v>
      </c>
      <c r="F755" s="209" t="s">
        <v>2345</v>
      </c>
      <c r="G755" s="209"/>
      <c r="I755" s="209"/>
      <c r="J755" s="209"/>
      <c r="K755" s="209"/>
    </row>
    <row r="756" spans="1:11">
      <c r="A756" s="208"/>
      <c r="B756" s="209" t="s">
        <v>2870</v>
      </c>
      <c r="C756" s="211" t="s">
        <v>1611</v>
      </c>
      <c r="D756" s="212">
        <v>10.43</v>
      </c>
      <c r="E756" s="212">
        <v>1.85</v>
      </c>
      <c r="F756" s="212" t="s">
        <v>2345</v>
      </c>
      <c r="G756" s="209"/>
      <c r="I756" s="209"/>
      <c r="J756" s="209"/>
      <c r="K756" s="209"/>
    </row>
    <row r="757" spans="1:11">
      <c r="A757" s="208"/>
      <c r="B757" s="209" t="s">
        <v>2870</v>
      </c>
      <c r="C757" s="211" t="s">
        <v>3986</v>
      </c>
      <c r="D757" s="212">
        <v>11</v>
      </c>
      <c r="E757" s="212">
        <v>1.9</v>
      </c>
      <c r="F757" s="212" t="s">
        <v>2340</v>
      </c>
      <c r="G757" s="209"/>
      <c r="H757" s="215"/>
      <c r="I757" s="209"/>
      <c r="J757" s="209"/>
      <c r="K757" s="209"/>
    </row>
    <row r="758" spans="1:11">
      <c r="A758" s="208"/>
      <c r="B758" s="209" t="s">
        <v>2870</v>
      </c>
      <c r="C758" s="211" t="s">
        <v>3987</v>
      </c>
      <c r="D758" s="212">
        <v>10.65</v>
      </c>
      <c r="E758" s="212">
        <v>1.9</v>
      </c>
      <c r="F758" s="212" t="s">
        <v>2339</v>
      </c>
      <c r="G758" s="212"/>
      <c r="H758" s="215"/>
      <c r="I758" s="209"/>
      <c r="J758" s="209"/>
      <c r="K758" s="209"/>
    </row>
    <row r="759" spans="1:11">
      <c r="A759" s="208"/>
      <c r="B759" s="209" t="s">
        <v>2870</v>
      </c>
      <c r="C759" s="211" t="s">
        <v>1613</v>
      </c>
      <c r="D759" s="212">
        <v>10.69</v>
      </c>
      <c r="E759" s="212">
        <v>1.94</v>
      </c>
      <c r="F759" s="209" t="s">
        <v>2362</v>
      </c>
      <c r="G759" s="212"/>
      <c r="I759" s="212"/>
      <c r="J759" s="212"/>
      <c r="K759" s="212"/>
    </row>
    <row r="760" spans="1:11">
      <c r="A760" s="208"/>
      <c r="B760" s="209" t="s">
        <v>2870</v>
      </c>
      <c r="C760" s="211" t="s">
        <v>1614</v>
      </c>
      <c r="D760" s="212">
        <v>10.69</v>
      </c>
      <c r="E760" s="212">
        <v>2.1</v>
      </c>
      <c r="F760" s="209" t="s">
        <v>2362</v>
      </c>
      <c r="G760" s="212"/>
      <c r="H760" s="215"/>
      <c r="I760" s="212"/>
      <c r="J760" s="212"/>
      <c r="K760" s="212"/>
    </row>
    <row r="761" spans="1:11">
      <c r="A761" s="208"/>
      <c r="B761" s="209" t="s">
        <v>2870</v>
      </c>
      <c r="C761" s="211" t="s">
        <v>1616</v>
      </c>
      <c r="D761" s="212">
        <v>10.95</v>
      </c>
      <c r="E761" s="212">
        <v>1.45</v>
      </c>
      <c r="F761" s="212" t="s">
        <v>341</v>
      </c>
      <c r="G761" s="212"/>
      <c r="H761" s="215"/>
      <c r="I761" s="212"/>
      <c r="J761" s="212"/>
      <c r="K761" s="212"/>
    </row>
    <row r="762" spans="1:11">
      <c r="A762" s="208"/>
      <c r="B762" s="209" t="s">
        <v>2870</v>
      </c>
      <c r="C762" s="211" t="s">
        <v>1615</v>
      </c>
      <c r="D762" s="212">
        <v>10.95</v>
      </c>
      <c r="E762" s="212">
        <v>1.95</v>
      </c>
      <c r="F762" s="212" t="s">
        <v>341</v>
      </c>
      <c r="G762" s="209"/>
      <c r="I762" s="209"/>
      <c r="J762" s="209"/>
      <c r="K762" s="209"/>
    </row>
    <row r="763" spans="1:11">
      <c r="A763" s="208"/>
      <c r="B763" s="209" t="s">
        <v>2870</v>
      </c>
      <c r="C763" s="211" t="s">
        <v>459</v>
      </c>
      <c r="D763" s="209" t="s">
        <v>1275</v>
      </c>
      <c r="E763" s="209" t="s">
        <v>1998</v>
      </c>
      <c r="F763" s="209" t="s">
        <v>316</v>
      </c>
      <c r="G763" s="209"/>
      <c r="I763" s="209"/>
      <c r="J763" s="209"/>
      <c r="K763" s="209"/>
    </row>
    <row r="764" spans="1:11">
      <c r="A764" s="208"/>
      <c r="B764" s="209" t="s">
        <v>2870</v>
      </c>
      <c r="C764" s="211" t="s">
        <v>4636</v>
      </c>
      <c r="D764" s="209" t="s">
        <v>2061</v>
      </c>
      <c r="E764" s="209" t="s">
        <v>422</v>
      </c>
      <c r="F764" s="209" t="s">
        <v>2083</v>
      </c>
      <c r="G764" s="209"/>
      <c r="I764" s="209"/>
      <c r="J764" s="209"/>
      <c r="K764" s="209"/>
    </row>
    <row r="765" spans="1:11">
      <c r="A765" s="208"/>
      <c r="B765" s="209" t="s">
        <v>2870</v>
      </c>
      <c r="C765" s="211" t="s">
        <v>3988</v>
      </c>
      <c r="D765" s="212">
        <v>11.62</v>
      </c>
      <c r="E765" s="212">
        <v>2.2000000000000002</v>
      </c>
      <c r="F765" s="209" t="s">
        <v>2362</v>
      </c>
      <c r="G765" s="209"/>
      <c r="I765" s="209"/>
      <c r="J765" s="209"/>
      <c r="K765" s="209"/>
    </row>
    <row r="766" spans="1:11">
      <c r="A766" s="208"/>
      <c r="B766" s="209" t="s">
        <v>2870</v>
      </c>
      <c r="C766" s="211" t="s">
        <v>3989</v>
      </c>
      <c r="D766" s="212">
        <v>11.75</v>
      </c>
      <c r="E766" s="212">
        <v>1.95</v>
      </c>
      <c r="F766" s="212" t="s">
        <v>2344</v>
      </c>
      <c r="G766" s="212"/>
      <c r="I766" s="209"/>
      <c r="J766" s="209"/>
      <c r="K766" s="209"/>
    </row>
    <row r="767" spans="1:11">
      <c r="A767" s="208"/>
      <c r="B767" s="209" t="s">
        <v>2870</v>
      </c>
      <c r="C767" s="211" t="s">
        <v>1618</v>
      </c>
      <c r="D767" s="212">
        <v>11.75</v>
      </c>
      <c r="E767" s="212">
        <v>1.5</v>
      </c>
      <c r="F767" s="212" t="s">
        <v>321</v>
      </c>
      <c r="G767" s="209"/>
      <c r="I767" s="212"/>
      <c r="J767" s="212"/>
      <c r="K767" s="212"/>
    </row>
    <row r="768" spans="1:11">
      <c r="A768" s="208"/>
      <c r="B768" s="209" t="s">
        <v>2870</v>
      </c>
      <c r="C768" s="211" t="s">
        <v>1617</v>
      </c>
      <c r="D768" s="212">
        <v>11.75</v>
      </c>
      <c r="E768" s="212">
        <v>1.95</v>
      </c>
      <c r="F768" s="212" t="s">
        <v>321</v>
      </c>
      <c r="G768" s="212"/>
      <c r="I768" s="209"/>
      <c r="J768" s="209"/>
      <c r="K768" s="209"/>
    </row>
    <row r="769" spans="1:11">
      <c r="A769" s="208"/>
      <c r="B769" s="209" t="s">
        <v>2870</v>
      </c>
      <c r="C769" s="211" t="s">
        <v>3990</v>
      </c>
      <c r="D769" s="212">
        <v>11.99</v>
      </c>
      <c r="E769" s="212">
        <v>2.1</v>
      </c>
      <c r="F769" s="209" t="s">
        <v>314</v>
      </c>
      <c r="G769" s="209"/>
      <c r="H769" s="215"/>
      <c r="I769" s="209"/>
      <c r="J769" s="209"/>
      <c r="K769" s="209"/>
    </row>
    <row r="770" spans="1:11">
      <c r="A770" s="208"/>
      <c r="B770" s="209" t="s">
        <v>2870</v>
      </c>
      <c r="C770" s="211" t="s">
        <v>5312</v>
      </c>
      <c r="D770" s="212" t="s">
        <v>1983</v>
      </c>
      <c r="E770" s="212" t="s">
        <v>5313</v>
      </c>
      <c r="F770" s="209" t="s">
        <v>5297</v>
      </c>
      <c r="G770" s="212"/>
      <c r="H770" s="215"/>
      <c r="I770" s="209"/>
      <c r="J770" s="209"/>
      <c r="K770" s="209"/>
    </row>
    <row r="771" spans="1:11">
      <c r="A771" s="208"/>
      <c r="B771" s="209" t="s">
        <v>2870</v>
      </c>
      <c r="C771" s="211" t="s">
        <v>5314</v>
      </c>
      <c r="D771" s="212" t="s">
        <v>1983</v>
      </c>
      <c r="E771" s="212" t="s">
        <v>1650</v>
      </c>
      <c r="F771" s="209" t="s">
        <v>5297</v>
      </c>
      <c r="G771" s="209"/>
      <c r="H771" s="215"/>
      <c r="I771" s="212"/>
      <c r="J771" s="212"/>
      <c r="K771" s="212"/>
    </row>
    <row r="772" spans="1:11">
      <c r="A772" s="208"/>
      <c r="B772" s="209" t="s">
        <v>2870</v>
      </c>
      <c r="C772" s="211" t="s">
        <v>3991</v>
      </c>
      <c r="D772" s="212">
        <v>11.99</v>
      </c>
      <c r="E772" s="212">
        <v>1.65</v>
      </c>
      <c r="F772" s="212" t="s">
        <v>329</v>
      </c>
      <c r="G772" s="209"/>
      <c r="I772" s="212"/>
      <c r="J772" s="212"/>
      <c r="K772" s="212"/>
    </row>
    <row r="773" spans="1:11">
      <c r="A773" s="208"/>
      <c r="B773" s="209" t="s">
        <v>2870</v>
      </c>
      <c r="C773" s="211" t="s">
        <v>3992</v>
      </c>
      <c r="D773" s="212">
        <v>12.3</v>
      </c>
      <c r="E773" s="212">
        <v>2.1</v>
      </c>
      <c r="F773" s="212" t="s">
        <v>319</v>
      </c>
      <c r="G773" s="212"/>
      <c r="I773" s="209"/>
      <c r="J773" s="209"/>
      <c r="K773" s="209"/>
    </row>
    <row r="774" spans="1:11">
      <c r="A774" s="208"/>
      <c r="B774" s="209" t="s">
        <v>2870</v>
      </c>
      <c r="C774" s="211" t="s">
        <v>1619</v>
      </c>
      <c r="D774" s="212">
        <v>12.59</v>
      </c>
      <c r="E774" s="212">
        <v>1.9</v>
      </c>
      <c r="F774" s="209" t="s">
        <v>2348</v>
      </c>
      <c r="G774" s="212"/>
      <c r="I774" s="209"/>
      <c r="J774" s="209"/>
      <c r="K774" s="209"/>
    </row>
    <row r="775" spans="1:11">
      <c r="A775" s="208"/>
      <c r="B775" s="209" t="s">
        <v>2870</v>
      </c>
      <c r="C775" s="211" t="s">
        <v>1620</v>
      </c>
      <c r="D775" s="212">
        <v>12.59</v>
      </c>
      <c r="E775" s="212">
        <v>2.13</v>
      </c>
      <c r="F775" s="209" t="s">
        <v>2348</v>
      </c>
      <c r="G775" s="209"/>
      <c r="I775" s="209"/>
      <c r="J775" s="209"/>
      <c r="K775" s="209"/>
    </row>
    <row r="776" spans="1:11">
      <c r="A776" s="208"/>
      <c r="B776" s="209" t="s">
        <v>2870</v>
      </c>
      <c r="C776" s="211" t="s">
        <v>1621</v>
      </c>
      <c r="D776" s="212">
        <v>12.59</v>
      </c>
      <c r="E776" s="212">
        <v>2.2999999999999998</v>
      </c>
      <c r="F776" s="209" t="s">
        <v>2348</v>
      </c>
      <c r="G776" s="209"/>
      <c r="I776" s="209"/>
      <c r="J776" s="209"/>
      <c r="K776" s="209"/>
    </row>
    <row r="777" spans="1:11">
      <c r="A777" s="208"/>
      <c r="B777" s="209" t="s">
        <v>2870</v>
      </c>
      <c r="C777" s="211" t="s">
        <v>3993</v>
      </c>
      <c r="D777" s="212">
        <v>12.84</v>
      </c>
      <c r="E777" s="212">
        <v>2</v>
      </c>
      <c r="F777" s="212" t="s">
        <v>343</v>
      </c>
      <c r="G777" s="209"/>
      <c r="H777" s="215"/>
      <c r="I777" s="209"/>
      <c r="J777" s="209"/>
      <c r="K777" s="209"/>
    </row>
    <row r="778" spans="1:11">
      <c r="A778" s="208"/>
      <c r="B778" s="209" t="s">
        <v>2870</v>
      </c>
      <c r="C778" s="211" t="s">
        <v>3994</v>
      </c>
      <c r="D778" s="212">
        <v>12.84</v>
      </c>
      <c r="E778" s="212">
        <v>2</v>
      </c>
      <c r="F778" s="209" t="s">
        <v>343</v>
      </c>
      <c r="G778" s="209"/>
      <c r="I778" s="209"/>
      <c r="J778" s="209"/>
      <c r="K778" s="209"/>
    </row>
    <row r="779" spans="1:11">
      <c r="A779" s="208"/>
      <c r="B779" s="209" t="s">
        <v>2870</v>
      </c>
      <c r="C779" s="211" t="s">
        <v>3995</v>
      </c>
      <c r="D779" s="212">
        <v>12.84</v>
      </c>
      <c r="E779" s="212">
        <v>2</v>
      </c>
      <c r="F779" s="212" t="s">
        <v>343</v>
      </c>
      <c r="G779" s="212"/>
      <c r="I779" s="209"/>
      <c r="J779" s="209"/>
      <c r="K779" s="209"/>
    </row>
    <row r="780" spans="1:11">
      <c r="A780" s="208"/>
      <c r="B780" s="209" t="s">
        <v>2870</v>
      </c>
      <c r="C780" s="211" t="s">
        <v>5643</v>
      </c>
      <c r="D780" s="212" t="s">
        <v>5645</v>
      </c>
      <c r="E780" s="212" t="s">
        <v>407</v>
      </c>
      <c r="F780" s="212" t="s">
        <v>5624</v>
      </c>
      <c r="G780" s="212"/>
      <c r="I780" s="209"/>
      <c r="J780" s="209"/>
      <c r="K780" s="209"/>
    </row>
    <row r="781" spans="1:11">
      <c r="A781" s="208"/>
      <c r="B781" s="209" t="s">
        <v>2870</v>
      </c>
      <c r="C781" s="211" t="s">
        <v>1622</v>
      </c>
      <c r="D781" s="212">
        <v>13.41</v>
      </c>
      <c r="E781" s="212">
        <v>2.0499999999999998</v>
      </c>
      <c r="F781" s="209" t="s">
        <v>311</v>
      </c>
      <c r="G781" s="209"/>
      <c r="H781" s="215"/>
      <c r="I781" s="212"/>
      <c r="J781" s="212"/>
      <c r="K781" s="212"/>
    </row>
    <row r="782" spans="1:11">
      <c r="A782" s="208"/>
      <c r="B782" s="209" t="s">
        <v>2870</v>
      </c>
      <c r="C782" s="211" t="s">
        <v>1623</v>
      </c>
      <c r="D782" s="212">
        <v>13.41</v>
      </c>
      <c r="E782" s="212">
        <v>2.2999999999999998</v>
      </c>
      <c r="F782" s="209" t="s">
        <v>311</v>
      </c>
      <c r="G782" s="212"/>
      <c r="H782" s="215"/>
      <c r="I782" s="212"/>
      <c r="J782" s="212"/>
      <c r="K782" s="212"/>
    </row>
    <row r="783" spans="1:11">
      <c r="A783" s="208"/>
      <c r="B783" s="209" t="s">
        <v>2870</v>
      </c>
      <c r="C783" s="211" t="s">
        <v>5401</v>
      </c>
      <c r="D783" s="209" t="s">
        <v>4669</v>
      </c>
      <c r="E783" s="209" t="s">
        <v>436</v>
      </c>
      <c r="F783" s="209" t="s">
        <v>4660</v>
      </c>
      <c r="G783" s="212"/>
      <c r="I783" s="209"/>
      <c r="J783" s="209"/>
      <c r="K783" s="209"/>
    </row>
    <row r="784" spans="1:11">
      <c r="A784" s="208"/>
      <c r="B784" s="209" t="s">
        <v>2870</v>
      </c>
      <c r="C784" s="211" t="s">
        <v>4668</v>
      </c>
      <c r="D784" s="209" t="s">
        <v>4669</v>
      </c>
      <c r="E784" s="209" t="s">
        <v>405</v>
      </c>
      <c r="F784" s="209" t="s">
        <v>4660</v>
      </c>
      <c r="G784" s="209"/>
      <c r="I784" s="209"/>
      <c r="J784" s="209"/>
      <c r="K784" s="209"/>
    </row>
    <row r="785" spans="1:11">
      <c r="A785" s="208" t="s">
        <v>2342</v>
      </c>
      <c r="B785" s="209" t="s">
        <v>2870</v>
      </c>
      <c r="C785" s="211" t="s">
        <v>1625</v>
      </c>
      <c r="D785" s="209" t="s">
        <v>1258</v>
      </c>
      <c r="E785" s="212">
        <v>1.6</v>
      </c>
      <c r="F785" s="212" t="s">
        <v>2339</v>
      </c>
      <c r="G785" s="209"/>
      <c r="I785" s="209"/>
      <c r="J785" s="209"/>
      <c r="K785" s="209"/>
    </row>
    <row r="786" spans="1:11">
      <c r="A786" s="208"/>
      <c r="B786" s="209" t="s">
        <v>2870</v>
      </c>
      <c r="C786" s="211" t="s">
        <v>1624</v>
      </c>
      <c r="D786" s="209" t="s">
        <v>1258</v>
      </c>
      <c r="E786" s="212">
        <v>2</v>
      </c>
      <c r="F786" s="212" t="s">
        <v>2339</v>
      </c>
      <c r="G786" s="209"/>
      <c r="I786" s="212"/>
      <c r="J786" s="212"/>
      <c r="K786" s="212"/>
    </row>
    <row r="787" spans="1:11">
      <c r="A787" s="208"/>
      <c r="B787" s="209" t="s">
        <v>2870</v>
      </c>
      <c r="C787" s="211" t="s">
        <v>3996</v>
      </c>
      <c r="D787" s="209" t="s">
        <v>1259</v>
      </c>
      <c r="E787" s="212">
        <v>2.0499999999999998</v>
      </c>
      <c r="F787" s="209" t="s">
        <v>311</v>
      </c>
      <c r="G787" s="209"/>
      <c r="I787" s="209"/>
      <c r="J787" s="209"/>
      <c r="K787" s="209"/>
    </row>
    <row r="788" spans="1:11">
      <c r="A788" s="208" t="s">
        <v>2342</v>
      </c>
      <c r="B788" s="209" t="s">
        <v>2870</v>
      </c>
      <c r="C788" s="211" t="s">
        <v>3997</v>
      </c>
      <c r="D788" s="212">
        <v>14</v>
      </c>
      <c r="E788" s="212">
        <v>2.1</v>
      </c>
      <c r="F788" s="212" t="s">
        <v>2377</v>
      </c>
      <c r="G788" s="209"/>
      <c r="I788" s="209"/>
      <c r="J788" s="209"/>
      <c r="K788" s="209"/>
    </row>
    <row r="789" spans="1:11">
      <c r="A789" s="208"/>
      <c r="B789" s="209" t="s">
        <v>2870</v>
      </c>
      <c r="C789" s="211" t="s">
        <v>4637</v>
      </c>
      <c r="D789" s="209" t="s">
        <v>4638</v>
      </c>
      <c r="E789" s="209" t="s">
        <v>4639</v>
      </c>
      <c r="F789" s="209" t="s">
        <v>2083</v>
      </c>
      <c r="G789" s="209"/>
      <c r="I789" s="209"/>
      <c r="J789" s="209"/>
      <c r="K789" s="209"/>
    </row>
    <row r="790" spans="1:11">
      <c r="A790" s="208"/>
      <c r="B790" s="209" t="s">
        <v>2870</v>
      </c>
      <c r="C790" s="211" t="s">
        <v>1626</v>
      </c>
      <c r="D790" s="212">
        <v>14.73</v>
      </c>
      <c r="E790" s="212">
        <v>2.15</v>
      </c>
      <c r="F790" s="212" t="s">
        <v>321</v>
      </c>
      <c r="G790" s="209"/>
      <c r="I790" s="209"/>
      <c r="J790" s="209"/>
      <c r="K790" s="209"/>
    </row>
    <row r="791" spans="1:11">
      <c r="A791" s="208"/>
      <c r="B791" s="209" t="s">
        <v>2870</v>
      </c>
      <c r="C791" s="211" t="s">
        <v>1627</v>
      </c>
      <c r="D791" s="212">
        <v>14.73</v>
      </c>
      <c r="E791" s="212">
        <v>2.35</v>
      </c>
      <c r="F791" s="209" t="s">
        <v>321</v>
      </c>
      <c r="G791" s="212"/>
      <c r="H791" s="215"/>
      <c r="I791" s="212"/>
      <c r="J791" s="212"/>
      <c r="K791" s="212"/>
    </row>
    <row r="792" spans="1:11">
      <c r="A792" s="208"/>
      <c r="B792" s="209" t="s">
        <v>2870</v>
      </c>
      <c r="C792" s="211" t="s">
        <v>5315</v>
      </c>
      <c r="D792" s="212" t="s">
        <v>5316</v>
      </c>
      <c r="E792" s="212" t="s">
        <v>4639</v>
      </c>
      <c r="F792" s="209" t="s">
        <v>5297</v>
      </c>
      <c r="G792" s="212"/>
      <c r="H792" s="215"/>
      <c r="I792" s="212"/>
      <c r="J792" s="212"/>
      <c r="K792" s="212"/>
    </row>
    <row r="793" spans="1:11">
      <c r="A793" s="208"/>
      <c r="B793" s="209" t="s">
        <v>2870</v>
      </c>
      <c r="C793" s="211" t="s">
        <v>3998</v>
      </c>
      <c r="D793" s="212">
        <v>14.73</v>
      </c>
      <c r="E793" s="212">
        <v>2.15</v>
      </c>
      <c r="F793" s="209" t="s">
        <v>321</v>
      </c>
      <c r="G793" s="212"/>
      <c r="I793" s="209"/>
      <c r="J793" s="209"/>
      <c r="K793" s="209"/>
    </row>
    <row r="794" spans="1:11">
      <c r="A794" s="208"/>
      <c r="B794" s="209" t="s">
        <v>2870</v>
      </c>
      <c r="C794" s="211" t="s">
        <v>3999</v>
      </c>
      <c r="D794" s="212">
        <v>14.75</v>
      </c>
      <c r="E794" s="212">
        <v>2.15</v>
      </c>
      <c r="F794" s="209" t="s">
        <v>311</v>
      </c>
      <c r="G794" s="209"/>
      <c r="I794" s="212"/>
      <c r="J794" s="212"/>
      <c r="K794" s="212"/>
    </row>
    <row r="795" spans="1:11">
      <c r="B795" s="209" t="s">
        <v>2870</v>
      </c>
      <c r="C795" s="211" t="s">
        <v>4000</v>
      </c>
      <c r="D795" s="212">
        <v>14.94</v>
      </c>
      <c r="E795" s="212">
        <v>1.8</v>
      </c>
      <c r="F795" s="212" t="s">
        <v>2341</v>
      </c>
      <c r="G795" s="209"/>
      <c r="I795" s="209"/>
      <c r="J795" s="209"/>
      <c r="K795" s="209"/>
    </row>
    <row r="796" spans="1:11">
      <c r="A796" s="208" t="s">
        <v>2342</v>
      </c>
      <c r="B796" s="209" t="s">
        <v>2870</v>
      </c>
      <c r="C796" s="211" t="s">
        <v>4001</v>
      </c>
      <c r="D796" s="212">
        <v>15.73</v>
      </c>
      <c r="E796" s="212">
        <v>2.2999999999999998</v>
      </c>
      <c r="F796" s="209" t="s">
        <v>314</v>
      </c>
      <c r="G796" s="209"/>
      <c r="H796" s="215"/>
      <c r="I796" s="212"/>
      <c r="J796" s="212"/>
      <c r="K796" s="212"/>
    </row>
    <row r="797" spans="1:11">
      <c r="A797" s="208"/>
      <c r="B797" s="209" t="s">
        <v>2870</v>
      </c>
      <c r="C797" s="211" t="s">
        <v>4002</v>
      </c>
      <c r="D797" s="212">
        <v>16.38</v>
      </c>
      <c r="E797" s="212">
        <v>2.2999999999999998</v>
      </c>
      <c r="F797" s="212" t="s">
        <v>2345</v>
      </c>
      <c r="G797" s="209"/>
      <c r="I797" s="212"/>
      <c r="J797" s="212"/>
      <c r="K797" s="212"/>
    </row>
    <row r="798" spans="1:11">
      <c r="A798" s="208"/>
      <c r="B798" s="209" t="s">
        <v>2870</v>
      </c>
      <c r="C798" s="211" t="s">
        <v>4003</v>
      </c>
      <c r="D798" s="209" t="s">
        <v>1260</v>
      </c>
      <c r="E798" s="212">
        <v>1.8</v>
      </c>
      <c r="F798" s="212" t="s">
        <v>306</v>
      </c>
      <c r="G798" s="209"/>
      <c r="I798" s="209"/>
      <c r="J798" s="209"/>
      <c r="K798" s="209"/>
    </row>
    <row r="799" spans="1:11">
      <c r="A799" s="208"/>
      <c r="B799" s="209" t="s">
        <v>2870</v>
      </c>
      <c r="C799" s="211" t="s">
        <v>4004</v>
      </c>
      <c r="D799" s="209" t="s">
        <v>1261</v>
      </c>
      <c r="E799" s="212">
        <v>1.95</v>
      </c>
      <c r="F799" s="212" t="s">
        <v>3508</v>
      </c>
      <c r="G799" s="209"/>
      <c r="I799" s="212"/>
      <c r="J799" s="212"/>
      <c r="K799" s="212"/>
    </row>
    <row r="800" spans="1:11">
      <c r="A800" s="208"/>
      <c r="B800" s="209" t="s">
        <v>2870</v>
      </c>
      <c r="C800" s="211" t="s">
        <v>4005</v>
      </c>
      <c r="D800" s="212">
        <v>11.23</v>
      </c>
      <c r="E800" s="212">
        <v>1.9</v>
      </c>
      <c r="F800" s="212" t="s">
        <v>3508</v>
      </c>
      <c r="G800" s="212"/>
      <c r="I800" s="209"/>
      <c r="J800" s="209"/>
      <c r="K800" s="209"/>
    </row>
    <row r="801" spans="1:11">
      <c r="A801" s="208"/>
      <c r="B801" s="209" t="s">
        <v>2870</v>
      </c>
      <c r="C801" s="211" t="s">
        <v>4006</v>
      </c>
      <c r="D801" s="212">
        <v>11.49</v>
      </c>
      <c r="E801" s="212">
        <v>2</v>
      </c>
      <c r="F801" s="212" t="s">
        <v>306</v>
      </c>
      <c r="G801" s="209"/>
      <c r="H801" s="215"/>
      <c r="I801" s="209"/>
      <c r="J801" s="209"/>
      <c r="K801" s="209"/>
    </row>
    <row r="802" spans="1:11">
      <c r="A802" s="208"/>
      <c r="B802" s="209" t="s">
        <v>2870</v>
      </c>
      <c r="C802" s="211" t="s">
        <v>990</v>
      </c>
      <c r="D802" s="212">
        <v>9.5</v>
      </c>
      <c r="E802" s="212">
        <v>1.85</v>
      </c>
      <c r="F802" s="212" t="s">
        <v>2372</v>
      </c>
      <c r="G802" s="209"/>
      <c r="H802" s="215"/>
      <c r="I802" s="209"/>
      <c r="J802" s="209"/>
      <c r="K802" s="209"/>
    </row>
    <row r="803" spans="1:11">
      <c r="A803" s="208"/>
      <c r="B803" s="209" t="s">
        <v>2870</v>
      </c>
      <c r="C803" s="211" t="s">
        <v>49</v>
      </c>
      <c r="D803" s="209" t="s">
        <v>1280</v>
      </c>
      <c r="E803" s="212">
        <v>1.5</v>
      </c>
      <c r="F803" s="212" t="s">
        <v>2366</v>
      </c>
      <c r="G803" s="209"/>
      <c r="I803" s="209"/>
      <c r="J803" s="209"/>
      <c r="K803" s="209"/>
    </row>
    <row r="804" spans="1:11">
      <c r="A804" s="208"/>
      <c r="B804" s="209" t="s">
        <v>2871</v>
      </c>
      <c r="C804" s="211" t="s">
        <v>4204</v>
      </c>
      <c r="D804" s="212">
        <v>9.6</v>
      </c>
      <c r="E804" s="212">
        <v>1.95</v>
      </c>
      <c r="F804" s="209" t="s">
        <v>2345</v>
      </c>
      <c r="G804" s="212"/>
      <c r="H804" s="215"/>
      <c r="I804" s="209"/>
      <c r="J804" s="209"/>
      <c r="K804" s="209"/>
    </row>
    <row r="805" spans="1:11">
      <c r="A805" s="208"/>
      <c r="B805" s="209" t="s">
        <v>2871</v>
      </c>
      <c r="C805" s="211" t="s">
        <v>4205</v>
      </c>
      <c r="D805" s="212">
        <v>9.98</v>
      </c>
      <c r="E805" s="212">
        <v>2.1</v>
      </c>
      <c r="F805" s="209" t="s">
        <v>311</v>
      </c>
      <c r="G805" s="212"/>
      <c r="I805" s="209"/>
      <c r="J805" s="209"/>
      <c r="K805" s="209"/>
    </row>
    <row r="806" spans="1:11">
      <c r="A806" s="208" t="s">
        <v>2342</v>
      </c>
      <c r="B806" s="209" t="s">
        <v>2871</v>
      </c>
      <c r="C806" s="211" t="s">
        <v>4206</v>
      </c>
      <c r="D806" s="212">
        <v>9.99</v>
      </c>
      <c r="E806" s="212">
        <v>1.98</v>
      </c>
      <c r="F806" s="209" t="s">
        <v>314</v>
      </c>
      <c r="G806" s="209"/>
      <c r="H806" s="215"/>
      <c r="I806" s="209"/>
      <c r="J806" s="209"/>
      <c r="K806" s="209"/>
    </row>
    <row r="807" spans="1:11">
      <c r="A807" s="208"/>
      <c r="B807" s="209" t="s">
        <v>2871</v>
      </c>
      <c r="C807" s="211" t="s">
        <v>4207</v>
      </c>
      <c r="D807" s="212">
        <v>9.99</v>
      </c>
      <c r="E807" s="212">
        <v>1.98</v>
      </c>
      <c r="F807" s="209" t="s">
        <v>314</v>
      </c>
      <c r="G807" s="209"/>
      <c r="H807" s="215"/>
      <c r="I807" s="209"/>
      <c r="J807" s="209"/>
      <c r="K807" s="209"/>
    </row>
    <row r="808" spans="1:11">
      <c r="A808" s="208"/>
      <c r="B808" s="209" t="s">
        <v>2871</v>
      </c>
      <c r="C808" s="211" t="s">
        <v>5317</v>
      </c>
      <c r="D808" s="212" t="s">
        <v>5318</v>
      </c>
      <c r="E808" s="212" t="s">
        <v>5319</v>
      </c>
      <c r="F808" s="209" t="s">
        <v>5297</v>
      </c>
      <c r="G808" s="209"/>
      <c r="I808" s="209"/>
      <c r="J808" s="209"/>
      <c r="K808" s="209"/>
    </row>
    <row r="809" spans="1:11">
      <c r="A809" s="208"/>
      <c r="B809" s="209" t="s">
        <v>2871</v>
      </c>
      <c r="C809" s="211" t="s">
        <v>5320</v>
      </c>
      <c r="D809" s="212" t="s">
        <v>5318</v>
      </c>
      <c r="E809" s="212" t="s">
        <v>5319</v>
      </c>
      <c r="F809" s="209" t="s">
        <v>5297</v>
      </c>
      <c r="G809" s="209"/>
      <c r="H809" s="215"/>
      <c r="I809" s="209"/>
      <c r="J809" s="209"/>
      <c r="K809" s="209"/>
    </row>
    <row r="810" spans="1:11">
      <c r="A810" s="208"/>
      <c r="B810" s="209" t="s">
        <v>2871</v>
      </c>
      <c r="C810" s="211" t="s">
        <v>567</v>
      </c>
      <c r="D810" s="209" t="s">
        <v>568</v>
      </c>
      <c r="E810" s="209" t="s">
        <v>445</v>
      </c>
      <c r="F810" s="209" t="s">
        <v>557</v>
      </c>
      <c r="G810" s="209"/>
      <c r="I810" s="212"/>
      <c r="J810" s="212"/>
      <c r="K810" s="212"/>
    </row>
    <row r="811" spans="1:11">
      <c r="A811" s="208"/>
      <c r="B811" s="209" t="s">
        <v>2871</v>
      </c>
      <c r="C811" s="211" t="s">
        <v>4662</v>
      </c>
      <c r="D811" s="209" t="s">
        <v>4663</v>
      </c>
      <c r="E811" s="209" t="s">
        <v>4664</v>
      </c>
      <c r="F811" s="209" t="s">
        <v>4660</v>
      </c>
      <c r="G811" s="209"/>
      <c r="I811" s="209"/>
      <c r="J811" s="209"/>
      <c r="K811" s="209"/>
    </row>
    <row r="812" spans="1:11">
      <c r="A812" s="208"/>
      <c r="B812" s="209" t="s">
        <v>2872</v>
      </c>
      <c r="C812" s="211" t="s">
        <v>4209</v>
      </c>
      <c r="D812" s="209" t="s">
        <v>1216</v>
      </c>
      <c r="E812" s="212">
        <v>1.98</v>
      </c>
      <c r="F812" s="209" t="s">
        <v>319</v>
      </c>
      <c r="G812" s="209"/>
      <c r="I812" s="209"/>
      <c r="J812" s="209"/>
      <c r="K812" s="209"/>
    </row>
    <row r="813" spans="1:11">
      <c r="A813" s="208"/>
      <c r="B813" s="209" t="s">
        <v>2872</v>
      </c>
      <c r="C813" s="211" t="s">
        <v>4210</v>
      </c>
      <c r="D813" s="212">
        <v>9.59</v>
      </c>
      <c r="E813" s="212">
        <v>1.98</v>
      </c>
      <c r="F813" s="209" t="s">
        <v>319</v>
      </c>
      <c r="G813" s="209"/>
      <c r="I813" s="209"/>
      <c r="J813" s="209"/>
      <c r="K813" s="209"/>
    </row>
    <row r="814" spans="1:11">
      <c r="A814" s="208"/>
      <c r="B814" s="209" t="s">
        <v>2872</v>
      </c>
      <c r="C814" s="211" t="s">
        <v>4211</v>
      </c>
      <c r="D814" s="212">
        <v>9.59</v>
      </c>
      <c r="E814" s="212">
        <v>1.98</v>
      </c>
      <c r="F814" s="209" t="s">
        <v>319</v>
      </c>
      <c r="G814" s="212"/>
      <c r="I814" s="209"/>
      <c r="J814" s="209"/>
      <c r="K814" s="209"/>
    </row>
    <row r="815" spans="1:11">
      <c r="A815" s="208"/>
      <c r="B815" s="209" t="s">
        <v>2873</v>
      </c>
      <c r="C815" s="211" t="s">
        <v>773</v>
      </c>
      <c r="D815" s="212">
        <v>11.43</v>
      </c>
      <c r="E815" s="212">
        <v>2.37</v>
      </c>
      <c r="F815" s="212" t="s">
        <v>2359</v>
      </c>
      <c r="G815" s="212"/>
      <c r="I815" s="209"/>
      <c r="J815" s="209"/>
      <c r="K815" s="209"/>
    </row>
    <row r="816" spans="1:11">
      <c r="A816" s="208"/>
      <c r="B816" s="209" t="s">
        <v>2873</v>
      </c>
      <c r="C816" s="211" t="s">
        <v>3351</v>
      </c>
      <c r="D816" s="212">
        <v>11.82</v>
      </c>
      <c r="E816" s="212">
        <v>2.6</v>
      </c>
      <c r="F816" s="209" t="s">
        <v>311</v>
      </c>
      <c r="G816" s="209"/>
      <c r="I816" s="209"/>
      <c r="J816" s="209"/>
      <c r="K816" s="209"/>
    </row>
    <row r="817" spans="1:11">
      <c r="A817" s="208"/>
      <c r="B817" s="209" t="s">
        <v>2873</v>
      </c>
      <c r="C817" s="211" t="s">
        <v>3352</v>
      </c>
      <c r="D817" s="212">
        <v>12.15</v>
      </c>
      <c r="E817" s="212">
        <v>2.6</v>
      </c>
      <c r="F817" s="209" t="s">
        <v>316</v>
      </c>
      <c r="G817" s="209"/>
      <c r="I817" s="209"/>
      <c r="J817" s="209"/>
      <c r="K817" s="209"/>
    </row>
    <row r="818" spans="1:11">
      <c r="A818" s="208"/>
      <c r="B818" s="209" t="s">
        <v>3433</v>
      </c>
      <c r="C818" s="211" t="s">
        <v>3358</v>
      </c>
      <c r="D818" s="212">
        <v>8.6199999999999992</v>
      </c>
      <c r="E818" s="212">
        <v>1.52</v>
      </c>
      <c r="F818" s="212" t="s">
        <v>3508</v>
      </c>
      <c r="G818" s="209"/>
      <c r="I818" s="212"/>
      <c r="J818" s="212"/>
      <c r="K818" s="212"/>
    </row>
    <row r="819" spans="1:11">
      <c r="A819" s="208"/>
      <c r="B819" s="209" t="s">
        <v>3433</v>
      </c>
      <c r="C819" s="211" t="s">
        <v>3359</v>
      </c>
      <c r="D819" s="212">
        <v>8.66</v>
      </c>
      <c r="E819" s="212">
        <v>0.97</v>
      </c>
      <c r="F819" s="212" t="s">
        <v>3508</v>
      </c>
      <c r="G819" s="212"/>
      <c r="I819" s="209"/>
      <c r="J819" s="209"/>
      <c r="K819" s="209"/>
    </row>
    <row r="820" spans="1:11">
      <c r="A820" s="208"/>
      <c r="B820" s="209" t="s">
        <v>3433</v>
      </c>
      <c r="C820" s="211" t="s">
        <v>774</v>
      </c>
      <c r="D820" s="212">
        <v>6.15</v>
      </c>
      <c r="E820" s="212">
        <v>1.5</v>
      </c>
      <c r="F820" s="212" t="s">
        <v>2359</v>
      </c>
      <c r="G820" s="209"/>
      <c r="H820" s="215"/>
      <c r="I820" s="209"/>
      <c r="J820" s="209"/>
      <c r="K820" s="209"/>
    </row>
    <row r="821" spans="1:11">
      <c r="A821" s="208"/>
      <c r="B821" s="209" t="s">
        <v>3433</v>
      </c>
      <c r="C821" s="211" t="s">
        <v>3360</v>
      </c>
      <c r="D821" s="212">
        <v>8.6199999999999992</v>
      </c>
      <c r="E821" s="212">
        <v>1.52</v>
      </c>
      <c r="F821" s="212" t="s">
        <v>3508</v>
      </c>
      <c r="G821" s="209"/>
      <c r="I821" s="209"/>
      <c r="J821" s="209"/>
      <c r="K821" s="209"/>
    </row>
    <row r="822" spans="1:11">
      <c r="A822" s="208"/>
      <c r="B822" s="209" t="s">
        <v>3435</v>
      </c>
      <c r="C822" s="211" t="s">
        <v>3362</v>
      </c>
      <c r="D822" s="212">
        <v>7.8</v>
      </c>
      <c r="E822" s="212">
        <v>1.45</v>
      </c>
      <c r="F822" s="212" t="s">
        <v>2370</v>
      </c>
      <c r="G822" s="209"/>
      <c r="I822" s="209"/>
      <c r="J822" s="209"/>
      <c r="K822" s="209"/>
    </row>
    <row r="823" spans="1:11">
      <c r="A823" s="208"/>
      <c r="B823" s="209" t="s">
        <v>3435</v>
      </c>
      <c r="C823" s="211" t="s">
        <v>3363</v>
      </c>
      <c r="D823" s="209" t="s">
        <v>2045</v>
      </c>
      <c r="E823" s="212">
        <v>1.87</v>
      </c>
      <c r="F823" s="212" t="s">
        <v>2980</v>
      </c>
      <c r="G823" s="209"/>
      <c r="I823" s="209"/>
      <c r="J823" s="209"/>
      <c r="K823" s="209"/>
    </row>
    <row r="824" spans="1:11">
      <c r="A824" s="208"/>
      <c r="B824" s="209" t="s">
        <v>3434</v>
      </c>
      <c r="C824" s="211" t="s">
        <v>3364</v>
      </c>
      <c r="D824" s="212">
        <v>8.23</v>
      </c>
      <c r="E824" s="212">
        <v>1.6</v>
      </c>
      <c r="F824" s="209" t="s">
        <v>2362</v>
      </c>
      <c r="G824" s="212"/>
      <c r="I824" s="209"/>
      <c r="J824" s="209"/>
      <c r="K824" s="209"/>
    </row>
    <row r="825" spans="1:11">
      <c r="A825" s="208"/>
      <c r="B825" s="209" t="s">
        <v>3434</v>
      </c>
      <c r="C825" s="211" t="s">
        <v>3365</v>
      </c>
      <c r="D825" s="212">
        <v>9.4</v>
      </c>
      <c r="E825" s="212">
        <v>1.22</v>
      </c>
      <c r="F825" s="212" t="s">
        <v>2343</v>
      </c>
      <c r="G825" s="212"/>
      <c r="I825" s="209"/>
      <c r="J825" s="209"/>
      <c r="K825" s="209"/>
    </row>
    <row r="826" spans="1:11">
      <c r="A826" s="208"/>
      <c r="B826" s="209" t="s">
        <v>3434</v>
      </c>
      <c r="C826" s="211" t="s">
        <v>3366</v>
      </c>
      <c r="D826" s="212">
        <v>10.08</v>
      </c>
      <c r="E826" s="212">
        <v>1.67</v>
      </c>
      <c r="F826" s="209" t="s">
        <v>2345</v>
      </c>
      <c r="G826" s="209"/>
      <c r="I826" s="209"/>
      <c r="J826" s="209"/>
      <c r="K826" s="209"/>
    </row>
    <row r="827" spans="1:11">
      <c r="A827" s="208"/>
      <c r="B827" s="209" t="s">
        <v>3434</v>
      </c>
      <c r="C827" s="211" t="s">
        <v>3367</v>
      </c>
      <c r="D827" s="212">
        <v>10.76</v>
      </c>
      <c r="E827" s="212">
        <v>1.37</v>
      </c>
      <c r="F827" s="212" t="s">
        <v>2980</v>
      </c>
      <c r="G827" s="212"/>
      <c r="I827" s="209"/>
      <c r="J827" s="209"/>
      <c r="K827" s="209"/>
    </row>
    <row r="828" spans="1:11">
      <c r="A828" s="208"/>
      <c r="B828" s="209" t="s">
        <v>3434</v>
      </c>
      <c r="C828" s="211" t="s">
        <v>3368</v>
      </c>
      <c r="D828" s="209" t="s">
        <v>1217</v>
      </c>
      <c r="E828" s="212">
        <v>1.45</v>
      </c>
      <c r="F828" s="212" t="s">
        <v>324</v>
      </c>
      <c r="G828" s="209"/>
      <c r="H828" s="215"/>
      <c r="I828" s="212"/>
      <c r="J828" s="212"/>
      <c r="K828" s="212"/>
    </row>
    <row r="829" spans="1:11">
      <c r="A829" s="208"/>
      <c r="B829" s="209" t="s">
        <v>3434</v>
      </c>
      <c r="C829" s="211" t="s">
        <v>3369</v>
      </c>
      <c r="D829" s="212">
        <v>13.49</v>
      </c>
      <c r="E829" s="212">
        <v>1.68</v>
      </c>
      <c r="F829" s="212" t="s">
        <v>343</v>
      </c>
      <c r="G829" s="212"/>
      <c r="I829" s="209"/>
      <c r="J829" s="209"/>
      <c r="K829" s="209"/>
    </row>
    <row r="830" spans="1:11">
      <c r="A830" s="208" t="s">
        <v>2342</v>
      </c>
      <c r="B830" s="209" t="s">
        <v>3436</v>
      </c>
      <c r="C830" s="211" t="s">
        <v>3370</v>
      </c>
      <c r="D830" s="209" t="s">
        <v>1218</v>
      </c>
      <c r="E830" s="212">
        <v>2.36</v>
      </c>
      <c r="F830" s="212" t="s">
        <v>310</v>
      </c>
      <c r="G830" s="212"/>
      <c r="I830" s="212"/>
      <c r="J830" s="212"/>
      <c r="K830" s="212"/>
    </row>
    <row r="831" spans="1:11">
      <c r="A831" s="208" t="s">
        <v>2342</v>
      </c>
      <c r="B831" s="209" t="s">
        <v>3436</v>
      </c>
      <c r="C831" s="211" t="s">
        <v>3371</v>
      </c>
      <c r="D831" s="212">
        <v>12.89</v>
      </c>
      <c r="E831" s="212">
        <v>2.5299999999999998</v>
      </c>
      <c r="F831" s="212" t="s">
        <v>319</v>
      </c>
      <c r="G831" s="209"/>
      <c r="I831" s="209"/>
      <c r="J831" s="209"/>
      <c r="K831" s="209"/>
    </row>
    <row r="832" spans="1:11">
      <c r="A832" s="208"/>
      <c r="B832" s="209" t="s">
        <v>3437</v>
      </c>
      <c r="C832" s="211" t="s">
        <v>775</v>
      </c>
      <c r="D832" s="212">
        <v>11.99</v>
      </c>
      <c r="E832" s="212">
        <v>2.35</v>
      </c>
      <c r="F832" s="212" t="s">
        <v>324</v>
      </c>
      <c r="G832" s="212"/>
      <c r="I832" s="209"/>
      <c r="J832" s="209"/>
      <c r="K832" s="209"/>
    </row>
    <row r="833" spans="1:11">
      <c r="A833" s="208"/>
      <c r="B833" s="209" t="s">
        <v>3437</v>
      </c>
      <c r="C833" s="211" t="s">
        <v>1629</v>
      </c>
      <c r="D833" s="212">
        <v>14.63</v>
      </c>
      <c r="E833" s="212">
        <v>1.94</v>
      </c>
      <c r="F833" s="212" t="s">
        <v>324</v>
      </c>
      <c r="G833" s="209"/>
      <c r="I833" s="209"/>
      <c r="J833" s="209"/>
      <c r="K833" s="209"/>
    </row>
    <row r="834" spans="1:11">
      <c r="A834" s="208"/>
      <c r="B834" s="209" t="s">
        <v>3437</v>
      </c>
      <c r="C834" s="211" t="s">
        <v>1628</v>
      </c>
      <c r="D834" s="212">
        <v>14.63</v>
      </c>
      <c r="E834" s="212">
        <v>2.29</v>
      </c>
      <c r="F834" s="212" t="s">
        <v>324</v>
      </c>
      <c r="G834" s="209"/>
      <c r="I834" s="209"/>
      <c r="J834" s="209"/>
      <c r="K834" s="209"/>
    </row>
    <row r="835" spans="1:11">
      <c r="A835" s="208"/>
      <c r="B835" s="209" t="s">
        <v>3438</v>
      </c>
      <c r="C835" s="211" t="s">
        <v>1630</v>
      </c>
      <c r="D835" s="212">
        <v>7.11</v>
      </c>
      <c r="E835" s="212">
        <v>1.41</v>
      </c>
      <c r="F835" s="212" t="s">
        <v>341</v>
      </c>
      <c r="G835" s="209"/>
      <c r="I835" s="209"/>
      <c r="J835" s="209"/>
      <c r="K835" s="209"/>
    </row>
    <row r="836" spans="1:11">
      <c r="A836" s="208"/>
      <c r="B836" s="209" t="s">
        <v>3438</v>
      </c>
      <c r="C836" s="211" t="s">
        <v>1631</v>
      </c>
      <c r="D836" s="212">
        <v>7.11</v>
      </c>
      <c r="E836" s="212">
        <v>1.7</v>
      </c>
      <c r="F836" s="209" t="s">
        <v>341</v>
      </c>
      <c r="G836" s="209"/>
      <c r="I836" s="209"/>
      <c r="J836" s="209"/>
      <c r="K836" s="209"/>
    </row>
    <row r="837" spans="1:11">
      <c r="A837" s="208"/>
      <c r="B837" s="209" t="s">
        <v>3438</v>
      </c>
      <c r="C837" s="211" t="s">
        <v>423</v>
      </c>
      <c r="D837" s="209" t="s">
        <v>424</v>
      </c>
      <c r="E837" s="209" t="s">
        <v>425</v>
      </c>
      <c r="F837" s="209" t="s">
        <v>2362</v>
      </c>
      <c r="G837" s="209"/>
      <c r="I837" s="209"/>
      <c r="J837" s="209"/>
      <c r="K837" s="209"/>
    </row>
    <row r="838" spans="1:11">
      <c r="A838" s="208"/>
      <c r="B838" s="209" t="s">
        <v>3439</v>
      </c>
      <c r="C838" s="211" t="s">
        <v>3381</v>
      </c>
      <c r="D838" s="212">
        <v>9.99</v>
      </c>
      <c r="E838" s="209">
        <v>1.95</v>
      </c>
      <c r="F838" s="209" t="s">
        <v>2343</v>
      </c>
      <c r="G838" s="209"/>
      <c r="H838" s="215"/>
      <c r="I838" s="209"/>
      <c r="J838" s="209"/>
      <c r="K838" s="209"/>
    </row>
    <row r="839" spans="1:11">
      <c r="A839" s="208"/>
      <c r="B839" s="209" t="s">
        <v>3439</v>
      </c>
      <c r="C839" s="211" t="s">
        <v>3382</v>
      </c>
      <c r="D839" s="212">
        <v>10.15</v>
      </c>
      <c r="E839" s="209">
        <v>2.1</v>
      </c>
      <c r="F839" s="209" t="s">
        <v>316</v>
      </c>
      <c r="G839" s="209"/>
      <c r="I839" s="212"/>
      <c r="J839" s="212"/>
      <c r="K839" s="212"/>
    </row>
    <row r="840" spans="1:11">
      <c r="A840" s="208"/>
      <c r="B840" s="209" t="s">
        <v>3439</v>
      </c>
      <c r="C840" s="211" t="s">
        <v>5321</v>
      </c>
      <c r="D840" s="212" t="s">
        <v>5322</v>
      </c>
      <c r="E840" s="209" t="s">
        <v>405</v>
      </c>
      <c r="F840" s="209" t="s">
        <v>5297</v>
      </c>
      <c r="G840" s="209"/>
      <c r="H840" s="215"/>
      <c r="I840" s="209"/>
      <c r="J840" s="209"/>
      <c r="K840" s="209"/>
    </row>
    <row r="841" spans="1:11">
      <c r="A841" s="208"/>
      <c r="B841" s="209" t="s">
        <v>3439</v>
      </c>
      <c r="C841" s="211" t="s">
        <v>5586</v>
      </c>
      <c r="D841" s="212">
        <v>12.45</v>
      </c>
      <c r="E841" s="209">
        <v>2.5499999999999998</v>
      </c>
      <c r="F841" s="209" t="s">
        <v>2362</v>
      </c>
      <c r="G841" s="209"/>
      <c r="I841" s="209"/>
      <c r="J841" s="209"/>
      <c r="K841" s="209"/>
    </row>
    <row r="842" spans="1:11">
      <c r="B842" s="209" t="s">
        <v>3439</v>
      </c>
      <c r="C842" s="211" t="s">
        <v>5583</v>
      </c>
      <c r="D842" s="209" t="s">
        <v>5585</v>
      </c>
      <c r="E842" s="209" t="s">
        <v>480</v>
      </c>
      <c r="F842" s="209" t="s">
        <v>5467</v>
      </c>
      <c r="G842" s="209"/>
      <c r="I842" s="209"/>
      <c r="J842" s="209"/>
      <c r="K842" s="209"/>
    </row>
    <row r="843" spans="1:11">
      <c r="B843" s="209" t="s">
        <v>3439</v>
      </c>
      <c r="C843" s="211" t="s">
        <v>5584</v>
      </c>
      <c r="D843" s="209" t="s">
        <v>5585</v>
      </c>
      <c r="E843" s="209" t="s">
        <v>481</v>
      </c>
      <c r="F843" s="209" t="s">
        <v>5467</v>
      </c>
      <c r="G843" s="212"/>
      <c r="I843" s="209"/>
      <c r="J843" s="209"/>
      <c r="K843" s="209"/>
    </row>
    <row r="844" spans="1:11">
      <c r="A844" s="208"/>
      <c r="B844" s="209" t="s">
        <v>3441</v>
      </c>
      <c r="C844" s="211" t="s">
        <v>3385</v>
      </c>
      <c r="D844" s="212">
        <v>7.94</v>
      </c>
      <c r="E844" s="212">
        <v>1.6</v>
      </c>
      <c r="F844" s="212" t="s">
        <v>343</v>
      </c>
      <c r="G844" s="209"/>
      <c r="I844" s="209"/>
      <c r="J844" s="209"/>
      <c r="K844" s="209"/>
    </row>
    <row r="845" spans="1:11">
      <c r="A845" s="208"/>
      <c r="B845" s="209" t="s">
        <v>3441</v>
      </c>
      <c r="C845" s="211" t="s">
        <v>3386</v>
      </c>
      <c r="D845" s="212">
        <v>10.64</v>
      </c>
      <c r="E845" s="212">
        <v>2.23</v>
      </c>
      <c r="F845" s="212" t="s">
        <v>310</v>
      </c>
      <c r="G845" s="209"/>
      <c r="I845" s="209"/>
      <c r="J845" s="209"/>
      <c r="K845" s="209"/>
    </row>
    <row r="846" spans="1:11">
      <c r="A846" s="208"/>
      <c r="B846" s="209" t="s">
        <v>3440</v>
      </c>
      <c r="C846" s="211" t="s">
        <v>3387</v>
      </c>
      <c r="D846" s="212">
        <v>10.25</v>
      </c>
      <c r="E846" s="212">
        <v>1.7</v>
      </c>
      <c r="F846" s="212" t="s">
        <v>308</v>
      </c>
      <c r="G846" s="209"/>
      <c r="I846" s="209"/>
      <c r="J846" s="209"/>
      <c r="K846" s="209"/>
    </row>
    <row r="847" spans="1:11">
      <c r="A847" s="208"/>
      <c r="B847" s="209" t="s">
        <v>3440</v>
      </c>
      <c r="C847" s="211" t="s">
        <v>3388</v>
      </c>
      <c r="D847" s="212">
        <v>10.25</v>
      </c>
      <c r="E847" s="212">
        <v>1.75</v>
      </c>
      <c r="F847" s="212" t="s">
        <v>310</v>
      </c>
      <c r="G847" s="209"/>
      <c r="I847" s="209"/>
      <c r="J847" s="209"/>
      <c r="K847" s="209"/>
    </row>
    <row r="848" spans="1:11">
      <c r="A848" s="208"/>
      <c r="B848" s="209" t="s">
        <v>3440</v>
      </c>
      <c r="C848" s="211" t="s">
        <v>1634</v>
      </c>
      <c r="D848" s="212">
        <v>11</v>
      </c>
      <c r="E848" s="212">
        <v>1.5</v>
      </c>
      <c r="F848" s="212" t="s">
        <v>341</v>
      </c>
      <c r="G848" s="209"/>
      <c r="I848" s="209"/>
      <c r="J848" s="209"/>
      <c r="K848" s="209"/>
    </row>
    <row r="849" spans="1:11">
      <c r="A849" s="208"/>
      <c r="B849" s="209" t="s">
        <v>3440</v>
      </c>
      <c r="C849" s="211" t="s">
        <v>1633</v>
      </c>
      <c r="D849" s="212">
        <v>11</v>
      </c>
      <c r="E849" s="212">
        <v>2</v>
      </c>
      <c r="F849" s="212" t="s">
        <v>341</v>
      </c>
      <c r="G849" s="209"/>
      <c r="H849" s="215"/>
      <c r="I849" s="212"/>
      <c r="J849" s="212"/>
      <c r="K849" s="212"/>
    </row>
    <row r="850" spans="1:11">
      <c r="A850" s="208"/>
      <c r="B850" s="209" t="s">
        <v>3440</v>
      </c>
      <c r="C850" s="211" t="s">
        <v>3389</v>
      </c>
      <c r="D850" s="212">
        <v>12.7</v>
      </c>
      <c r="E850" s="212">
        <v>2.25</v>
      </c>
      <c r="F850" s="209" t="s">
        <v>2362</v>
      </c>
      <c r="G850" s="209"/>
      <c r="I850" s="212"/>
      <c r="J850" s="212"/>
      <c r="K850" s="212"/>
    </row>
    <row r="851" spans="1:11">
      <c r="A851" s="208"/>
      <c r="B851" s="209" t="s">
        <v>3440</v>
      </c>
      <c r="C851" s="211" t="s">
        <v>3390</v>
      </c>
      <c r="D851" s="209" t="s">
        <v>1220</v>
      </c>
      <c r="E851" s="212">
        <v>1.43</v>
      </c>
      <c r="F851" s="209" t="s">
        <v>2377</v>
      </c>
      <c r="G851" s="212"/>
      <c r="I851" s="209"/>
      <c r="J851" s="209"/>
      <c r="K851" s="209"/>
    </row>
    <row r="852" spans="1:11">
      <c r="A852" s="208"/>
      <c r="B852" s="209" t="s">
        <v>3440</v>
      </c>
      <c r="C852" s="211" t="s">
        <v>3391</v>
      </c>
      <c r="D852" s="212">
        <v>8</v>
      </c>
      <c r="E852" s="212">
        <v>1.47</v>
      </c>
      <c r="F852" s="212" t="s">
        <v>2370</v>
      </c>
      <c r="G852" s="209"/>
      <c r="I852" s="209"/>
      <c r="J852" s="209"/>
      <c r="K852" s="209"/>
    </row>
    <row r="853" spans="1:11">
      <c r="A853" s="208"/>
      <c r="B853" s="209" t="s">
        <v>3440</v>
      </c>
      <c r="C853" s="211" t="s">
        <v>3392</v>
      </c>
      <c r="D853" s="212">
        <v>9</v>
      </c>
      <c r="E853" s="212">
        <v>1.65</v>
      </c>
      <c r="F853" s="212" t="s">
        <v>329</v>
      </c>
      <c r="G853" s="209"/>
      <c r="I853" s="209"/>
      <c r="J853" s="209"/>
      <c r="K853" s="209"/>
    </row>
    <row r="854" spans="1:11">
      <c r="A854" s="208"/>
      <c r="B854" s="209" t="s">
        <v>3440</v>
      </c>
      <c r="C854" s="211" t="s">
        <v>3393</v>
      </c>
      <c r="D854" s="212">
        <v>9.82</v>
      </c>
      <c r="E854" s="212">
        <v>1.7</v>
      </c>
      <c r="F854" s="212" t="s">
        <v>306</v>
      </c>
      <c r="G854" s="209"/>
      <c r="I854" s="209"/>
      <c r="J854" s="209"/>
      <c r="K854" s="209"/>
    </row>
    <row r="855" spans="1:11">
      <c r="A855" s="208"/>
      <c r="B855" s="209" t="s">
        <v>3440</v>
      </c>
      <c r="C855" s="211" t="s">
        <v>3394</v>
      </c>
      <c r="D855" s="212">
        <v>8.5</v>
      </c>
      <c r="E855" s="212">
        <v>1.5</v>
      </c>
      <c r="F855" s="212" t="s">
        <v>326</v>
      </c>
      <c r="G855" s="209"/>
      <c r="I855" s="209"/>
      <c r="J855" s="209"/>
      <c r="K855" s="209"/>
    </row>
    <row r="856" spans="1:11">
      <c r="A856" s="208"/>
      <c r="B856" s="209" t="s">
        <v>3440</v>
      </c>
      <c r="C856" s="211" t="s">
        <v>3395</v>
      </c>
      <c r="D856" s="212">
        <v>8</v>
      </c>
      <c r="E856" s="212">
        <v>1.55</v>
      </c>
      <c r="F856" s="212" t="s">
        <v>3508</v>
      </c>
      <c r="G856" s="209"/>
      <c r="I856" s="209"/>
      <c r="J856" s="209"/>
      <c r="K856" s="209"/>
    </row>
    <row r="857" spans="1:11">
      <c r="A857" s="208"/>
      <c r="B857" s="209" t="s">
        <v>3440</v>
      </c>
      <c r="C857" s="211" t="s">
        <v>3396</v>
      </c>
      <c r="D857" s="209" t="s">
        <v>1221</v>
      </c>
      <c r="E857" s="212">
        <v>2</v>
      </c>
      <c r="F857" s="209" t="s">
        <v>3560</v>
      </c>
      <c r="G857" s="209"/>
      <c r="I857" s="209"/>
      <c r="J857" s="209"/>
      <c r="K857" s="209"/>
    </row>
    <row r="858" spans="1:11">
      <c r="A858" s="208"/>
      <c r="B858" s="209" t="s">
        <v>3442</v>
      </c>
      <c r="C858" s="211" t="s">
        <v>2791</v>
      </c>
      <c r="D858" s="212">
        <v>6.1</v>
      </c>
      <c r="E858" s="212">
        <v>1.38</v>
      </c>
      <c r="F858" s="209" t="s">
        <v>311</v>
      </c>
      <c r="G858" s="209"/>
      <c r="I858" s="212"/>
      <c r="J858" s="212"/>
      <c r="K858" s="212"/>
    </row>
    <row r="859" spans="1:11">
      <c r="A859" s="208"/>
      <c r="B859" s="209" t="s">
        <v>3442</v>
      </c>
      <c r="C859" s="211" t="s">
        <v>756</v>
      </c>
      <c r="D859" s="212" t="s">
        <v>5440</v>
      </c>
      <c r="E859" s="212">
        <v>1.52</v>
      </c>
      <c r="F859" s="212" t="s">
        <v>353</v>
      </c>
      <c r="G859" s="209"/>
      <c r="H859" s="215"/>
      <c r="I859" s="212"/>
      <c r="J859" s="212"/>
      <c r="K859" s="212"/>
    </row>
    <row r="860" spans="1:11">
      <c r="A860" s="208"/>
      <c r="B860" s="209" t="s">
        <v>3442</v>
      </c>
      <c r="C860" s="211" t="s">
        <v>757</v>
      </c>
      <c r="D860" s="212">
        <v>9.68</v>
      </c>
      <c r="E860" s="212">
        <v>2.09</v>
      </c>
      <c r="F860" s="212" t="s">
        <v>2347</v>
      </c>
      <c r="G860" s="209"/>
      <c r="H860" s="215"/>
      <c r="I860" s="209"/>
      <c r="J860" s="209"/>
      <c r="K860" s="209"/>
    </row>
    <row r="861" spans="1:11">
      <c r="A861" s="208"/>
      <c r="B861" s="209" t="s">
        <v>3443</v>
      </c>
      <c r="C861" s="211" t="s">
        <v>2794</v>
      </c>
      <c r="D861" s="212">
        <v>10.119999999999999</v>
      </c>
      <c r="E861" s="212">
        <v>1.9</v>
      </c>
      <c r="F861" s="212" t="s">
        <v>2980</v>
      </c>
      <c r="G861" s="212"/>
      <c r="I861" s="212"/>
      <c r="J861" s="212"/>
      <c r="K861" s="209"/>
    </row>
    <row r="862" spans="1:11">
      <c r="A862" s="208"/>
      <c r="B862" s="209" t="s">
        <v>3443</v>
      </c>
      <c r="C862" s="211" t="s">
        <v>2795</v>
      </c>
      <c r="D862" s="212">
        <v>10.119999999999999</v>
      </c>
      <c r="E862" s="212">
        <v>1.22</v>
      </c>
      <c r="F862" s="212" t="s">
        <v>2980</v>
      </c>
      <c r="G862" s="209"/>
      <c r="I862" s="209"/>
      <c r="J862" s="209"/>
      <c r="K862" s="209"/>
    </row>
    <row r="863" spans="1:11">
      <c r="A863" s="208"/>
      <c r="B863" s="209" t="s">
        <v>3443</v>
      </c>
      <c r="C863" s="211" t="s">
        <v>2796</v>
      </c>
      <c r="D863" s="212">
        <v>10.119999999999999</v>
      </c>
      <c r="E863" s="212">
        <v>1.9</v>
      </c>
      <c r="F863" s="212" t="s">
        <v>2980</v>
      </c>
      <c r="G863" s="212"/>
      <c r="I863" s="209"/>
      <c r="J863" s="209"/>
      <c r="K863" s="209"/>
    </row>
    <row r="864" spans="1:11">
      <c r="A864" s="208"/>
      <c r="B864" s="209" t="s">
        <v>3443</v>
      </c>
      <c r="C864" s="211" t="s">
        <v>2797</v>
      </c>
      <c r="D864" s="212">
        <v>11.53</v>
      </c>
      <c r="E864" s="212">
        <v>2.0499999999999998</v>
      </c>
      <c r="F864" s="212" t="s">
        <v>332</v>
      </c>
      <c r="G864" s="209"/>
      <c r="I864" s="209"/>
      <c r="J864" s="209"/>
      <c r="K864" s="209"/>
    </row>
    <row r="865" spans="1:11">
      <c r="A865" s="208"/>
      <c r="B865" s="209" t="s">
        <v>3443</v>
      </c>
      <c r="C865" s="211" t="s">
        <v>2798</v>
      </c>
      <c r="D865" s="212">
        <v>8.3800000000000008</v>
      </c>
      <c r="E865" s="212">
        <v>1.65</v>
      </c>
      <c r="F865" s="212" t="s">
        <v>332</v>
      </c>
      <c r="G865" s="209"/>
      <c r="I865" s="209"/>
      <c r="J865" s="209"/>
      <c r="K865" s="209"/>
    </row>
    <row r="866" spans="1:11">
      <c r="A866" s="208"/>
      <c r="B866" s="209" t="s">
        <v>3443</v>
      </c>
      <c r="C866" s="211" t="s">
        <v>2799</v>
      </c>
      <c r="D866" s="212">
        <v>8.3800000000000008</v>
      </c>
      <c r="E866" s="209" t="s">
        <v>305</v>
      </c>
      <c r="F866" s="212" t="s">
        <v>332</v>
      </c>
      <c r="G866" s="209"/>
      <c r="I866" s="209"/>
      <c r="J866" s="209"/>
      <c r="K866" s="209"/>
    </row>
    <row r="867" spans="1:11">
      <c r="A867" s="208"/>
      <c r="B867" s="209" t="s">
        <v>3443</v>
      </c>
      <c r="C867" s="211" t="s">
        <v>2800</v>
      </c>
      <c r="D867" s="212">
        <v>9.06</v>
      </c>
      <c r="E867" s="212">
        <v>1.79</v>
      </c>
      <c r="F867" s="212" t="s">
        <v>3560</v>
      </c>
      <c r="G867" s="209"/>
      <c r="I867" s="212"/>
      <c r="J867" s="212"/>
      <c r="K867" s="212"/>
    </row>
    <row r="868" spans="1:11">
      <c r="A868" s="208"/>
      <c r="B868" s="209" t="s">
        <v>3443</v>
      </c>
      <c r="C868" s="211" t="s">
        <v>2801</v>
      </c>
      <c r="D868" s="209" t="s">
        <v>2084</v>
      </c>
      <c r="E868" s="212">
        <v>1.9</v>
      </c>
      <c r="F868" s="212" t="s">
        <v>306</v>
      </c>
      <c r="G868" s="209"/>
      <c r="H868" s="215"/>
      <c r="I868" s="212"/>
      <c r="J868" s="212"/>
      <c r="K868" s="212"/>
    </row>
    <row r="869" spans="1:11">
      <c r="A869" s="208"/>
      <c r="B869" s="209" t="s">
        <v>3443</v>
      </c>
      <c r="C869" s="211" t="s">
        <v>2802</v>
      </c>
      <c r="D869" s="212">
        <v>7.77</v>
      </c>
      <c r="E869" s="212">
        <v>1</v>
      </c>
      <c r="F869" s="212" t="s">
        <v>324</v>
      </c>
      <c r="G869" s="209"/>
      <c r="H869" s="215"/>
      <c r="I869" s="209"/>
      <c r="J869" s="209"/>
      <c r="K869" s="209"/>
    </row>
    <row r="870" spans="1:11">
      <c r="A870" s="208"/>
      <c r="B870" s="209" t="s">
        <v>3443</v>
      </c>
      <c r="C870" s="211" t="s">
        <v>2803</v>
      </c>
      <c r="D870" s="212">
        <v>7.77</v>
      </c>
      <c r="E870" s="212">
        <v>1</v>
      </c>
      <c r="F870" s="212" t="s">
        <v>324</v>
      </c>
      <c r="G870" s="209"/>
      <c r="I870" s="209"/>
      <c r="J870" s="209"/>
      <c r="K870" s="209"/>
    </row>
    <row r="871" spans="1:11">
      <c r="A871" s="208"/>
      <c r="B871" s="209" t="s">
        <v>3444</v>
      </c>
      <c r="C871" s="211" t="s">
        <v>2809</v>
      </c>
      <c r="D871" s="212">
        <v>9.14</v>
      </c>
      <c r="E871" s="212">
        <v>1.47</v>
      </c>
      <c r="F871" s="212" t="s">
        <v>3530</v>
      </c>
      <c r="G871" s="209"/>
      <c r="H871" s="215"/>
      <c r="I871" s="212"/>
      <c r="J871" s="212"/>
      <c r="K871" s="212"/>
    </row>
    <row r="872" spans="1:11">
      <c r="A872" s="208"/>
      <c r="B872" s="209" t="s">
        <v>3444</v>
      </c>
      <c r="C872" s="211" t="s">
        <v>2810</v>
      </c>
      <c r="D872" s="212">
        <v>9.39</v>
      </c>
      <c r="E872" s="212">
        <v>1.53</v>
      </c>
      <c r="F872" s="212" t="s">
        <v>3560</v>
      </c>
      <c r="G872" s="212"/>
      <c r="I872" s="209"/>
      <c r="J872" s="209"/>
      <c r="K872" s="209"/>
    </row>
    <row r="873" spans="1:11">
      <c r="A873" s="208"/>
      <c r="B873" s="209" t="s">
        <v>3444</v>
      </c>
      <c r="C873" s="211" t="s">
        <v>2811</v>
      </c>
      <c r="D873" s="212">
        <v>10.07</v>
      </c>
      <c r="E873" s="212">
        <v>1.56</v>
      </c>
      <c r="F873" s="209" t="s">
        <v>2353</v>
      </c>
      <c r="G873" s="209"/>
      <c r="I873" s="212"/>
      <c r="J873" s="212"/>
      <c r="K873" s="212"/>
    </row>
    <row r="874" spans="1:11">
      <c r="A874" s="208"/>
      <c r="B874" s="209" t="s">
        <v>3444</v>
      </c>
      <c r="C874" s="211" t="s">
        <v>2812</v>
      </c>
      <c r="D874" s="212">
        <v>10.07</v>
      </c>
      <c r="E874" s="212">
        <v>1.35</v>
      </c>
      <c r="F874" s="209" t="s">
        <v>2353</v>
      </c>
      <c r="G874" s="209"/>
      <c r="I874" s="212"/>
      <c r="J874" s="212"/>
      <c r="K874" s="212"/>
    </row>
    <row r="875" spans="1:11">
      <c r="A875" s="208"/>
      <c r="B875" s="209" t="s">
        <v>3444</v>
      </c>
      <c r="C875" s="211" t="s">
        <v>2813</v>
      </c>
      <c r="D875" s="212">
        <v>10.210000000000001</v>
      </c>
      <c r="E875" s="212">
        <v>1.68</v>
      </c>
      <c r="F875" s="212" t="s">
        <v>324</v>
      </c>
      <c r="G875" s="209"/>
      <c r="I875" s="212"/>
      <c r="J875" s="212"/>
      <c r="K875" s="212"/>
    </row>
    <row r="876" spans="1:11">
      <c r="A876" s="208"/>
      <c r="B876" s="209" t="s">
        <v>3444</v>
      </c>
      <c r="C876" s="211" t="s">
        <v>2814</v>
      </c>
      <c r="D876" s="209" t="s">
        <v>1223</v>
      </c>
      <c r="E876" s="212">
        <v>1.52</v>
      </c>
      <c r="F876" s="212" t="s">
        <v>3560</v>
      </c>
      <c r="G876" s="209"/>
      <c r="I876" s="212"/>
      <c r="J876" s="212"/>
      <c r="K876" s="212"/>
    </row>
    <row r="877" spans="1:11">
      <c r="A877" s="208"/>
      <c r="B877" s="209" t="s">
        <v>3444</v>
      </c>
      <c r="C877" s="211" t="s">
        <v>2815</v>
      </c>
      <c r="D877" s="212">
        <v>10.97</v>
      </c>
      <c r="E877" s="212">
        <v>1.52</v>
      </c>
      <c r="F877" s="212" t="s">
        <v>327</v>
      </c>
      <c r="G877" s="209"/>
      <c r="H877" s="215"/>
      <c r="I877" s="212"/>
      <c r="J877" s="212"/>
      <c r="K877" s="212"/>
    </row>
    <row r="878" spans="1:11">
      <c r="A878" s="208"/>
      <c r="B878" s="209" t="s">
        <v>3444</v>
      </c>
      <c r="C878" s="211" t="s">
        <v>2816</v>
      </c>
      <c r="D878" s="209" t="s">
        <v>2030</v>
      </c>
      <c r="E878" s="212">
        <v>1.19</v>
      </c>
      <c r="F878" s="212" t="s">
        <v>2339</v>
      </c>
      <c r="G878" s="209"/>
      <c r="H878" s="215"/>
      <c r="I878" s="212"/>
      <c r="J878" s="212"/>
      <c r="K878" s="212"/>
    </row>
    <row r="879" spans="1:11">
      <c r="A879" s="208"/>
      <c r="B879" s="209" t="s">
        <v>3444</v>
      </c>
      <c r="C879" s="211" t="s">
        <v>2817</v>
      </c>
      <c r="D879" s="212">
        <v>11.28</v>
      </c>
      <c r="E879" s="212">
        <v>1.68</v>
      </c>
      <c r="F879" s="212" t="s">
        <v>332</v>
      </c>
      <c r="G879" s="209"/>
      <c r="I879" s="209"/>
      <c r="J879" s="209"/>
      <c r="K879" s="209"/>
    </row>
    <row r="880" spans="1:11">
      <c r="A880" s="208"/>
      <c r="B880" s="209" t="s">
        <v>3444</v>
      </c>
      <c r="C880" s="211" t="s">
        <v>1636</v>
      </c>
      <c r="D880" s="212">
        <v>11.53</v>
      </c>
      <c r="E880" s="212">
        <v>1.3</v>
      </c>
      <c r="F880" s="212" t="s">
        <v>332</v>
      </c>
      <c r="G880" s="209"/>
      <c r="I880" s="209"/>
      <c r="J880" s="209"/>
      <c r="K880" s="209"/>
    </row>
    <row r="881" spans="1:11">
      <c r="A881" s="208"/>
      <c r="B881" s="209" t="s">
        <v>3444</v>
      </c>
      <c r="C881" s="211" t="s">
        <v>1635</v>
      </c>
      <c r="D881" s="212">
        <v>11.53</v>
      </c>
      <c r="E881" s="212">
        <v>1.68</v>
      </c>
      <c r="F881" s="212" t="s">
        <v>332</v>
      </c>
      <c r="G881" s="209"/>
      <c r="H881" s="215"/>
      <c r="I881" s="212"/>
      <c r="J881" s="212"/>
      <c r="K881" s="212"/>
    </row>
    <row r="882" spans="1:11">
      <c r="A882" s="208"/>
      <c r="B882" s="209" t="s">
        <v>3444</v>
      </c>
      <c r="C882" s="211" t="s">
        <v>2818</v>
      </c>
      <c r="D882" s="212">
        <v>11.33</v>
      </c>
      <c r="E882" s="212">
        <v>1.45</v>
      </c>
      <c r="F882" s="209" t="s">
        <v>2359</v>
      </c>
      <c r="G882" s="212"/>
      <c r="I882" s="209"/>
      <c r="J882" s="209"/>
      <c r="K882" s="209"/>
    </row>
    <row r="883" spans="1:11">
      <c r="A883" s="208"/>
      <c r="B883" s="209" t="s">
        <v>3444</v>
      </c>
      <c r="C883" s="211" t="s">
        <v>2819</v>
      </c>
      <c r="D883" s="212">
        <v>11.43</v>
      </c>
      <c r="E883" s="212">
        <v>1.75</v>
      </c>
      <c r="F883" s="209" t="s">
        <v>308</v>
      </c>
      <c r="G883" s="212"/>
      <c r="H883" s="215"/>
      <c r="I883" s="212"/>
      <c r="J883" s="212"/>
      <c r="K883" s="212"/>
    </row>
    <row r="884" spans="1:11">
      <c r="A884" s="208"/>
      <c r="B884" s="209" t="s">
        <v>3444</v>
      </c>
      <c r="C884" s="211" t="s">
        <v>2820</v>
      </c>
      <c r="D884" s="212">
        <v>12.42</v>
      </c>
      <c r="E884" s="212">
        <v>1.83</v>
      </c>
      <c r="F884" s="212" t="s">
        <v>324</v>
      </c>
      <c r="G884" s="209"/>
      <c r="H884" s="215"/>
      <c r="I884" s="209"/>
      <c r="J884" s="209"/>
      <c r="K884" s="209"/>
    </row>
    <row r="885" spans="1:11">
      <c r="A885" s="208"/>
      <c r="B885" s="209" t="s">
        <v>3444</v>
      </c>
      <c r="C885" s="211" t="s">
        <v>2821</v>
      </c>
      <c r="D885" s="212">
        <v>13.65</v>
      </c>
      <c r="E885" s="212">
        <v>2.06</v>
      </c>
      <c r="F885" s="209" t="s">
        <v>2343</v>
      </c>
      <c r="G885" s="209"/>
      <c r="H885" s="215"/>
      <c r="I885" s="209"/>
      <c r="J885" s="209"/>
      <c r="K885" s="209"/>
    </row>
    <row r="886" spans="1:11">
      <c r="A886" s="208"/>
      <c r="B886" s="209" t="s">
        <v>3444</v>
      </c>
      <c r="C886" s="211" t="s">
        <v>2822</v>
      </c>
      <c r="D886" s="212">
        <v>14.17</v>
      </c>
      <c r="E886" s="212">
        <v>2.06</v>
      </c>
      <c r="F886" s="212" t="s">
        <v>2359</v>
      </c>
      <c r="G886" s="209"/>
      <c r="H886" s="215"/>
      <c r="I886" s="209"/>
      <c r="J886" s="209"/>
      <c r="K886" s="209"/>
    </row>
    <row r="887" spans="1:11">
      <c r="A887" s="208"/>
      <c r="B887" s="209" t="s">
        <v>3444</v>
      </c>
      <c r="C887" s="211" t="s">
        <v>2823</v>
      </c>
      <c r="D887" s="212">
        <v>9.4700000000000006</v>
      </c>
      <c r="E887" s="212">
        <v>1.64</v>
      </c>
      <c r="F887" s="212" t="s">
        <v>2341</v>
      </c>
      <c r="G887" s="209"/>
      <c r="H887" s="215"/>
      <c r="I887" s="209"/>
      <c r="J887" s="209"/>
      <c r="K887" s="209"/>
    </row>
    <row r="888" spans="1:11">
      <c r="A888" s="208"/>
      <c r="B888" s="209" t="s">
        <v>3444</v>
      </c>
      <c r="C888" s="211" t="s">
        <v>2824</v>
      </c>
      <c r="D888" s="212">
        <v>9.4700000000000006</v>
      </c>
      <c r="E888" s="212">
        <v>1.1399999999999999</v>
      </c>
      <c r="F888" s="212" t="s">
        <v>2341</v>
      </c>
      <c r="G888" s="209"/>
      <c r="H888" s="215"/>
      <c r="I888" s="212"/>
      <c r="J888" s="212"/>
      <c r="K888" s="212"/>
    </row>
    <row r="889" spans="1:11">
      <c r="A889" s="208"/>
      <c r="B889" s="209" t="s">
        <v>3444</v>
      </c>
      <c r="C889" s="211" t="s">
        <v>2825</v>
      </c>
      <c r="D889" s="212">
        <v>11.58</v>
      </c>
      <c r="E889" s="212">
        <v>1.91</v>
      </c>
      <c r="F889" s="212" t="s">
        <v>319</v>
      </c>
      <c r="G889" s="209"/>
      <c r="I889" s="212"/>
      <c r="J889" s="212"/>
      <c r="K889" s="212"/>
    </row>
    <row r="890" spans="1:11">
      <c r="A890" s="208"/>
      <c r="B890" s="209" t="s">
        <v>3445</v>
      </c>
      <c r="C890" s="211" t="s">
        <v>2828</v>
      </c>
      <c r="D890" s="212">
        <v>8.3000000000000007</v>
      </c>
      <c r="E890" s="212">
        <v>1.34</v>
      </c>
      <c r="F890" s="212" t="s">
        <v>3527</v>
      </c>
      <c r="G890" s="209"/>
      <c r="I890" s="212"/>
      <c r="J890" s="212"/>
      <c r="K890" s="212"/>
    </row>
    <row r="891" spans="1:11">
      <c r="A891" s="208"/>
      <c r="B891" s="209" t="s">
        <v>3445</v>
      </c>
      <c r="C891" s="211" t="s">
        <v>2829</v>
      </c>
      <c r="D891" s="212">
        <v>11.51</v>
      </c>
      <c r="E891" s="212">
        <v>2.59</v>
      </c>
      <c r="F891" s="212" t="s">
        <v>2366</v>
      </c>
      <c r="G891" s="212"/>
      <c r="H891" s="215"/>
      <c r="I891" s="209"/>
      <c r="J891" s="209"/>
      <c r="K891" s="209"/>
    </row>
    <row r="892" spans="1:11">
      <c r="A892" s="208"/>
      <c r="B892" s="209" t="s">
        <v>3445</v>
      </c>
      <c r="C892" s="211" t="s">
        <v>2830</v>
      </c>
      <c r="D892" s="212">
        <v>12.72</v>
      </c>
      <c r="E892" s="212">
        <v>2.04</v>
      </c>
      <c r="F892" s="212" t="s">
        <v>2374</v>
      </c>
      <c r="G892" s="212"/>
      <c r="I892" s="209"/>
      <c r="J892" s="209"/>
      <c r="K892" s="209"/>
    </row>
    <row r="893" spans="1:11">
      <c r="A893" s="208"/>
      <c r="B893" s="209" t="s">
        <v>3445</v>
      </c>
      <c r="C893" s="211" t="s">
        <v>2831</v>
      </c>
      <c r="D893" s="212">
        <v>7.8</v>
      </c>
      <c r="E893" s="212">
        <v>1.96</v>
      </c>
      <c r="F893" s="212" t="s">
        <v>308</v>
      </c>
      <c r="G893" s="209"/>
      <c r="H893" s="215"/>
      <c r="I893" s="209"/>
      <c r="J893" s="209"/>
      <c r="K893" s="209"/>
    </row>
    <row r="894" spans="1:11">
      <c r="A894" s="208"/>
      <c r="B894" s="209" t="s">
        <v>3445</v>
      </c>
      <c r="C894" s="211" t="s">
        <v>2832</v>
      </c>
      <c r="D894" s="212">
        <v>12.5</v>
      </c>
      <c r="E894" s="209" t="s">
        <v>305</v>
      </c>
      <c r="F894" s="212" t="s">
        <v>313</v>
      </c>
      <c r="G894" s="212"/>
      <c r="I894" s="209"/>
      <c r="J894" s="209"/>
      <c r="K894" s="209"/>
    </row>
    <row r="895" spans="1:11">
      <c r="A895" s="208"/>
      <c r="B895" s="209" t="s">
        <v>3446</v>
      </c>
      <c r="C895" s="211" t="s">
        <v>2833</v>
      </c>
      <c r="D895" s="212">
        <v>13.41</v>
      </c>
      <c r="E895" s="212">
        <v>1.7</v>
      </c>
      <c r="F895" s="212" t="s">
        <v>2339</v>
      </c>
      <c r="G895" s="209"/>
      <c r="I895" s="209"/>
      <c r="J895" s="209"/>
      <c r="K895" s="209"/>
    </row>
    <row r="896" spans="1:11">
      <c r="A896" s="208"/>
      <c r="B896" s="209" t="s">
        <v>3446</v>
      </c>
      <c r="C896" s="211" t="s">
        <v>1637</v>
      </c>
      <c r="D896" s="212">
        <v>11</v>
      </c>
      <c r="E896" s="212">
        <v>1.6</v>
      </c>
      <c r="F896" s="212" t="s">
        <v>321</v>
      </c>
      <c r="G896" s="209"/>
      <c r="I896" s="209"/>
      <c r="J896" s="209"/>
      <c r="K896" s="209"/>
    </row>
    <row r="897" spans="1:11">
      <c r="A897" s="208"/>
      <c r="B897" s="209" t="s">
        <v>3446</v>
      </c>
      <c r="C897" s="211" t="s">
        <v>1638</v>
      </c>
      <c r="D897" s="212">
        <v>11</v>
      </c>
      <c r="E897" s="212">
        <v>1.98</v>
      </c>
      <c r="F897" s="212" t="s">
        <v>321</v>
      </c>
      <c r="G897" s="209"/>
      <c r="I897" s="209"/>
      <c r="J897" s="209"/>
      <c r="K897" s="209"/>
    </row>
    <row r="898" spans="1:11">
      <c r="A898" s="208"/>
      <c r="B898" s="209" t="s">
        <v>3447</v>
      </c>
      <c r="C898" s="211" t="s">
        <v>2504</v>
      </c>
      <c r="D898" s="212">
        <v>9.98</v>
      </c>
      <c r="E898" s="212">
        <v>1.7</v>
      </c>
      <c r="F898" s="212" t="s">
        <v>2343</v>
      </c>
      <c r="G898" s="209"/>
      <c r="H898" s="215"/>
      <c r="I898" s="209"/>
      <c r="J898" s="209"/>
      <c r="K898" s="209"/>
    </row>
    <row r="899" spans="1:11">
      <c r="A899" s="208"/>
      <c r="B899" s="209" t="s">
        <v>3447</v>
      </c>
      <c r="C899" s="211" t="s">
        <v>2505</v>
      </c>
      <c r="D899" s="212">
        <v>10.82</v>
      </c>
      <c r="E899" s="212">
        <v>1.9</v>
      </c>
      <c r="F899" s="209" t="s">
        <v>316</v>
      </c>
      <c r="G899" s="209"/>
      <c r="H899" s="215"/>
      <c r="I899" s="209"/>
      <c r="J899" s="209"/>
      <c r="K899" s="209"/>
    </row>
    <row r="900" spans="1:11">
      <c r="A900" s="208"/>
      <c r="B900" s="209" t="s">
        <v>3447</v>
      </c>
      <c r="C900" s="211" t="s">
        <v>2506</v>
      </c>
      <c r="D900" s="212">
        <v>11.55</v>
      </c>
      <c r="E900" s="212">
        <v>1.9</v>
      </c>
      <c r="F900" s="212" t="s">
        <v>2347</v>
      </c>
      <c r="G900" s="212"/>
      <c r="H900" s="215"/>
      <c r="I900" s="212"/>
      <c r="J900" s="212"/>
      <c r="K900" s="212"/>
    </row>
    <row r="901" spans="1:11">
      <c r="A901" s="208"/>
      <c r="B901" s="209" t="s">
        <v>3447</v>
      </c>
      <c r="C901" s="211" t="s">
        <v>2507</v>
      </c>
      <c r="D901" s="212">
        <v>11.75</v>
      </c>
      <c r="E901" s="212">
        <v>1.85</v>
      </c>
      <c r="F901" s="212" t="s">
        <v>2377</v>
      </c>
      <c r="G901" s="212"/>
      <c r="I901" s="212"/>
      <c r="J901" s="212"/>
      <c r="K901" s="212"/>
    </row>
    <row r="902" spans="1:11">
      <c r="A902" s="208"/>
      <c r="B902" s="209" t="s">
        <v>3447</v>
      </c>
      <c r="C902" s="211" t="s">
        <v>2508</v>
      </c>
      <c r="D902" s="212">
        <v>13.5</v>
      </c>
      <c r="E902" s="212">
        <v>2.1</v>
      </c>
      <c r="F902" s="209" t="s">
        <v>2362</v>
      </c>
      <c r="G902" s="209"/>
      <c r="I902" s="212"/>
      <c r="J902" s="212"/>
      <c r="K902" s="212"/>
    </row>
    <row r="903" spans="1:11">
      <c r="A903" s="208"/>
      <c r="B903" s="209" t="s">
        <v>3447</v>
      </c>
      <c r="C903" s="211" t="s">
        <v>2509</v>
      </c>
      <c r="D903" s="212">
        <v>15.5</v>
      </c>
      <c r="E903" s="212">
        <v>2.2000000000000002</v>
      </c>
      <c r="F903" s="209" t="s">
        <v>329</v>
      </c>
      <c r="G903" s="209"/>
      <c r="I903" s="212"/>
      <c r="J903" s="212"/>
      <c r="K903" s="212"/>
    </row>
    <row r="904" spans="1:11">
      <c r="A904" s="208"/>
      <c r="B904" s="209" t="s">
        <v>5416</v>
      </c>
      <c r="C904" s="211" t="s">
        <v>569</v>
      </c>
      <c r="D904" s="209" t="s">
        <v>570</v>
      </c>
      <c r="E904" s="209" t="s">
        <v>454</v>
      </c>
      <c r="F904" s="209" t="s">
        <v>557</v>
      </c>
      <c r="G904" s="212"/>
      <c r="I904" s="212"/>
      <c r="J904" s="212"/>
      <c r="K904" s="212"/>
    </row>
    <row r="905" spans="1:11">
      <c r="A905" s="208"/>
      <c r="B905" s="209" t="s">
        <v>5416</v>
      </c>
      <c r="C905" s="211" t="s">
        <v>5427</v>
      </c>
      <c r="D905" s="209" t="s">
        <v>5418</v>
      </c>
      <c r="E905" s="209" t="s">
        <v>481</v>
      </c>
      <c r="F905" s="209" t="s">
        <v>5419</v>
      </c>
      <c r="G905" s="209"/>
      <c r="I905" s="212"/>
      <c r="J905" s="212"/>
      <c r="K905" s="212"/>
    </row>
    <row r="906" spans="1:11">
      <c r="A906" s="208"/>
      <c r="B906" s="209" t="s">
        <v>5416</v>
      </c>
      <c r="C906" s="211" t="s">
        <v>5417</v>
      </c>
      <c r="D906" s="209" t="s">
        <v>5418</v>
      </c>
      <c r="E906" s="209" t="s">
        <v>481</v>
      </c>
      <c r="F906" s="209" t="s">
        <v>5419</v>
      </c>
      <c r="G906" s="212"/>
      <c r="I906" s="212"/>
      <c r="J906" s="212"/>
      <c r="K906" s="212"/>
    </row>
    <row r="907" spans="1:11">
      <c r="A907" s="208"/>
      <c r="B907" s="209" t="s">
        <v>5416</v>
      </c>
      <c r="C907" s="211" t="s">
        <v>5587</v>
      </c>
      <c r="D907" s="209" t="s">
        <v>5588</v>
      </c>
      <c r="E907" s="209" t="s">
        <v>5589</v>
      </c>
      <c r="F907" s="209" t="s">
        <v>5467</v>
      </c>
      <c r="G907" s="212"/>
      <c r="I907" s="212"/>
      <c r="J907" s="212"/>
      <c r="K907" s="212"/>
    </row>
    <row r="908" spans="1:11">
      <c r="A908" s="208"/>
      <c r="B908" s="209" t="s">
        <v>3828</v>
      </c>
      <c r="C908" s="211" t="s">
        <v>2542</v>
      </c>
      <c r="D908" s="212">
        <v>13.78</v>
      </c>
      <c r="E908" s="212">
        <v>2.0099999999999998</v>
      </c>
      <c r="F908" s="212" t="s">
        <v>2543</v>
      </c>
      <c r="G908" s="212"/>
      <c r="I908" s="209"/>
      <c r="J908" s="209"/>
      <c r="K908" s="209"/>
    </row>
    <row r="909" spans="1:11">
      <c r="A909" s="208"/>
      <c r="B909" s="209" t="s">
        <v>3828</v>
      </c>
      <c r="C909" s="211" t="s">
        <v>2544</v>
      </c>
      <c r="D909" s="212">
        <v>12.05</v>
      </c>
      <c r="E909" s="212">
        <v>2.19</v>
      </c>
      <c r="F909" s="212" t="s">
        <v>2353</v>
      </c>
      <c r="G909" s="212"/>
      <c r="I909" s="209"/>
      <c r="J909" s="209"/>
      <c r="K909" s="209"/>
    </row>
    <row r="910" spans="1:11">
      <c r="A910" s="208"/>
      <c r="B910" s="209" t="s">
        <v>3448</v>
      </c>
      <c r="C910" s="211" t="s">
        <v>2511</v>
      </c>
      <c r="D910" s="212">
        <v>9.01</v>
      </c>
      <c r="E910" s="212">
        <v>1.72</v>
      </c>
      <c r="F910" s="212" t="s">
        <v>2366</v>
      </c>
      <c r="G910" s="212"/>
      <c r="H910" s="215"/>
      <c r="I910" s="212"/>
      <c r="J910" s="212"/>
      <c r="K910" s="212"/>
    </row>
    <row r="911" spans="1:11">
      <c r="A911" s="208"/>
      <c r="B911" s="209" t="s">
        <v>3448</v>
      </c>
      <c r="C911" s="211" t="s">
        <v>2512</v>
      </c>
      <c r="D911" s="209" t="s">
        <v>1224</v>
      </c>
      <c r="E911" s="212">
        <v>1.72</v>
      </c>
      <c r="F911" s="212" t="s">
        <v>327</v>
      </c>
      <c r="G911" s="212"/>
      <c r="H911" s="215"/>
      <c r="I911" s="209"/>
      <c r="J911" s="209"/>
      <c r="K911" s="209"/>
    </row>
    <row r="912" spans="1:11">
      <c r="A912" s="208"/>
      <c r="B912" s="209" t="s">
        <v>3448</v>
      </c>
      <c r="C912" s="211" t="s">
        <v>2513</v>
      </c>
      <c r="D912" s="212">
        <v>9.86</v>
      </c>
      <c r="E912" s="212">
        <v>1.72</v>
      </c>
      <c r="F912" s="212" t="s">
        <v>2514</v>
      </c>
      <c r="G912" s="209"/>
      <c r="H912" s="215"/>
      <c r="I912" s="209"/>
      <c r="J912" s="209"/>
      <c r="K912" s="209"/>
    </row>
    <row r="913" spans="1:11">
      <c r="A913" s="208"/>
      <c r="B913" s="209" t="s">
        <v>3448</v>
      </c>
      <c r="C913" s="211" t="s">
        <v>2515</v>
      </c>
      <c r="D913" s="212">
        <v>9.86</v>
      </c>
      <c r="E913" s="212">
        <v>1.71</v>
      </c>
      <c r="F913" s="212" t="s">
        <v>2514</v>
      </c>
      <c r="G913" s="209"/>
      <c r="H913" s="215"/>
      <c r="I913" s="209"/>
      <c r="J913" s="209"/>
      <c r="K913" s="209"/>
    </row>
    <row r="914" spans="1:11">
      <c r="A914" s="208"/>
      <c r="B914" s="209" t="s">
        <v>3448</v>
      </c>
      <c r="C914" s="211" t="s">
        <v>2516</v>
      </c>
      <c r="D914" s="212">
        <v>9.86</v>
      </c>
      <c r="E914" s="212">
        <v>1.72</v>
      </c>
      <c r="F914" s="212" t="s">
        <v>2514</v>
      </c>
      <c r="G914" s="212"/>
      <c r="H914" s="215"/>
      <c r="I914" s="209"/>
      <c r="J914" s="209"/>
      <c r="K914" s="209"/>
    </row>
    <row r="915" spans="1:11">
      <c r="A915" s="208"/>
      <c r="B915" s="209" t="s">
        <v>3448</v>
      </c>
      <c r="C915" s="211" t="s">
        <v>2517</v>
      </c>
      <c r="D915" s="209" t="s">
        <v>1225</v>
      </c>
      <c r="E915" s="212">
        <v>1.95</v>
      </c>
      <c r="F915" s="212" t="s">
        <v>3530</v>
      </c>
      <c r="G915" s="209"/>
      <c r="H915" s="215"/>
      <c r="I915" s="209"/>
      <c r="J915" s="209"/>
      <c r="K915" s="209"/>
    </row>
    <row r="916" spans="1:11">
      <c r="A916" s="208"/>
      <c r="B916" s="209" t="s">
        <v>3448</v>
      </c>
      <c r="C916" s="211" t="s">
        <v>2518</v>
      </c>
      <c r="D916" s="209" t="s">
        <v>1225</v>
      </c>
      <c r="E916" s="212">
        <v>1.8</v>
      </c>
      <c r="F916" s="212" t="s">
        <v>3530</v>
      </c>
      <c r="G916" s="209"/>
      <c r="H916" s="215"/>
      <c r="I916" s="209"/>
      <c r="J916" s="209"/>
      <c r="K916" s="209"/>
    </row>
    <row r="917" spans="1:11">
      <c r="A917" s="208"/>
      <c r="B917" s="209" t="s">
        <v>3448</v>
      </c>
      <c r="C917" s="211" t="s">
        <v>2519</v>
      </c>
      <c r="D917" s="209" t="s">
        <v>1996</v>
      </c>
      <c r="E917" s="212">
        <v>1.93</v>
      </c>
      <c r="F917" s="212" t="s">
        <v>2353</v>
      </c>
      <c r="G917" s="212"/>
      <c r="H917" s="215"/>
      <c r="I917" s="209"/>
      <c r="J917" s="209"/>
      <c r="K917" s="209"/>
    </row>
    <row r="918" spans="1:11">
      <c r="A918" s="208"/>
      <c r="B918" s="209" t="s">
        <v>3448</v>
      </c>
      <c r="C918" s="211" t="s">
        <v>2520</v>
      </c>
      <c r="D918" s="212">
        <v>10.74</v>
      </c>
      <c r="E918" s="212">
        <v>1.71</v>
      </c>
      <c r="F918" s="212" t="s">
        <v>2350</v>
      </c>
      <c r="G918" s="209"/>
      <c r="I918" s="212"/>
      <c r="J918" s="212"/>
      <c r="K918" s="212"/>
    </row>
    <row r="919" spans="1:11">
      <c r="A919" s="208"/>
      <c r="B919" s="209" t="s">
        <v>3448</v>
      </c>
      <c r="C919" s="211" t="s">
        <v>2521</v>
      </c>
      <c r="D919" s="212">
        <v>10.91</v>
      </c>
      <c r="E919" s="212">
        <v>1.8</v>
      </c>
      <c r="F919" s="212" t="s">
        <v>2942</v>
      </c>
      <c r="G919" s="209"/>
      <c r="I919" s="212"/>
      <c r="J919" s="212"/>
      <c r="K919" s="212"/>
    </row>
    <row r="920" spans="1:11">
      <c r="A920" s="209"/>
      <c r="B920" s="209" t="s">
        <v>3448</v>
      </c>
      <c r="C920" s="211" t="s">
        <v>2522</v>
      </c>
      <c r="D920" s="212">
        <v>11.14</v>
      </c>
      <c r="E920" s="212">
        <v>1.79</v>
      </c>
      <c r="F920" s="212" t="s">
        <v>2364</v>
      </c>
      <c r="G920" s="209"/>
      <c r="H920" s="215"/>
      <c r="I920" s="209"/>
      <c r="J920" s="209"/>
      <c r="K920" s="209"/>
    </row>
    <row r="921" spans="1:11">
      <c r="A921" s="208"/>
      <c r="B921" s="209" t="s">
        <v>3448</v>
      </c>
      <c r="C921" s="211" t="s">
        <v>2523</v>
      </c>
      <c r="D921" s="212">
        <v>13</v>
      </c>
      <c r="E921" s="212">
        <v>2.0699999999999998</v>
      </c>
      <c r="F921" s="212" t="s">
        <v>358</v>
      </c>
      <c r="G921" s="209"/>
      <c r="I921" s="209"/>
      <c r="J921" s="209"/>
      <c r="K921" s="209"/>
    </row>
    <row r="922" spans="1:11">
      <c r="A922" s="208" t="s">
        <v>2342</v>
      </c>
      <c r="B922" s="209" t="s">
        <v>3448</v>
      </c>
      <c r="C922" s="211" t="s">
        <v>2524</v>
      </c>
      <c r="D922" s="209" t="s">
        <v>1226</v>
      </c>
      <c r="E922" s="212">
        <v>2.1</v>
      </c>
      <c r="F922" s="212" t="s">
        <v>2374</v>
      </c>
      <c r="G922" s="212"/>
      <c r="I922" s="209"/>
      <c r="J922" s="209"/>
      <c r="K922" s="209"/>
    </row>
    <row r="923" spans="1:11">
      <c r="A923" s="208" t="s">
        <v>2342</v>
      </c>
      <c r="B923" s="209" t="s">
        <v>3448</v>
      </c>
      <c r="C923" s="211" t="s">
        <v>2525</v>
      </c>
      <c r="D923" s="212">
        <v>13.41</v>
      </c>
      <c r="E923" s="212">
        <v>2.2000000000000002</v>
      </c>
      <c r="F923" s="212" t="s">
        <v>3527</v>
      </c>
      <c r="G923" s="212"/>
      <c r="I923" s="212"/>
      <c r="J923" s="212"/>
      <c r="K923" s="212"/>
    </row>
    <row r="924" spans="1:11">
      <c r="A924" s="208" t="s">
        <v>2342</v>
      </c>
      <c r="B924" s="209" t="s">
        <v>3448</v>
      </c>
      <c r="C924" s="211" t="s">
        <v>2526</v>
      </c>
      <c r="D924" s="212">
        <v>14.43</v>
      </c>
      <c r="E924" s="212">
        <v>1.83</v>
      </c>
      <c r="F924" s="212" t="s">
        <v>2350</v>
      </c>
      <c r="G924" s="212"/>
      <c r="I924" s="212"/>
      <c r="J924" s="212"/>
      <c r="K924" s="212"/>
    </row>
    <row r="925" spans="1:11">
      <c r="A925" s="208"/>
      <c r="B925" s="209" t="s">
        <v>3448</v>
      </c>
      <c r="C925" s="211" t="s">
        <v>2527</v>
      </c>
      <c r="D925" s="209" t="s">
        <v>1227</v>
      </c>
      <c r="E925" s="212">
        <v>2.6</v>
      </c>
      <c r="F925" s="212" t="s">
        <v>2350</v>
      </c>
      <c r="G925" s="209"/>
      <c r="I925" s="212"/>
      <c r="J925" s="212"/>
      <c r="K925" s="212"/>
    </row>
    <row r="926" spans="1:11">
      <c r="A926" s="208"/>
      <c r="B926" s="209" t="s">
        <v>3448</v>
      </c>
      <c r="C926" s="211" t="s">
        <v>2528</v>
      </c>
      <c r="D926" s="209" t="s">
        <v>1227</v>
      </c>
      <c r="E926" s="212">
        <v>2.59</v>
      </c>
      <c r="F926" s="212" t="s">
        <v>2350</v>
      </c>
      <c r="G926" s="209"/>
      <c r="I926" s="209"/>
      <c r="J926" s="209"/>
      <c r="K926" s="209"/>
    </row>
    <row r="927" spans="1:11">
      <c r="A927" s="208"/>
      <c r="B927" s="209" t="s">
        <v>3448</v>
      </c>
      <c r="C927" s="211" t="s">
        <v>2529</v>
      </c>
      <c r="D927" s="212">
        <v>18.16</v>
      </c>
      <c r="E927" s="212">
        <v>2.13</v>
      </c>
      <c r="F927" s="212" t="s">
        <v>3508</v>
      </c>
      <c r="G927" s="209"/>
      <c r="I927" s="209"/>
      <c r="J927" s="209"/>
      <c r="K927" s="209"/>
    </row>
    <row r="928" spans="1:11">
      <c r="A928" s="208"/>
      <c r="B928" s="209" t="s">
        <v>3448</v>
      </c>
      <c r="C928" s="211" t="s">
        <v>2530</v>
      </c>
      <c r="D928" s="209" t="s">
        <v>1228</v>
      </c>
      <c r="E928" s="212">
        <v>1.72</v>
      </c>
      <c r="F928" s="212" t="s">
        <v>327</v>
      </c>
      <c r="G928" s="209"/>
      <c r="H928" s="215"/>
      <c r="I928" s="209"/>
      <c r="J928" s="209"/>
      <c r="K928" s="209"/>
    </row>
    <row r="929" spans="1:11">
      <c r="A929" s="208"/>
      <c r="B929" s="209" t="s">
        <v>3826</v>
      </c>
      <c r="C929" s="211" t="s">
        <v>2537</v>
      </c>
      <c r="D929" s="209" t="s">
        <v>1229</v>
      </c>
      <c r="E929" s="212">
        <v>1.71</v>
      </c>
      <c r="F929" s="212" t="s">
        <v>326</v>
      </c>
      <c r="G929" s="209"/>
      <c r="H929" s="215"/>
      <c r="I929" s="212"/>
      <c r="J929" s="212"/>
      <c r="K929" s="212"/>
    </row>
    <row r="930" spans="1:11">
      <c r="A930" s="208"/>
      <c r="B930" s="209" t="s">
        <v>3826</v>
      </c>
      <c r="C930" s="211" t="s">
        <v>1640</v>
      </c>
      <c r="D930" s="212">
        <v>11.22</v>
      </c>
      <c r="E930" s="212">
        <v>2.48</v>
      </c>
      <c r="F930" s="212" t="s">
        <v>2359</v>
      </c>
      <c r="G930" s="209"/>
      <c r="I930" s="212"/>
      <c r="J930" s="212"/>
      <c r="K930" s="212"/>
    </row>
    <row r="931" spans="1:11">
      <c r="A931" s="208"/>
      <c r="B931" s="209" t="s">
        <v>3826</v>
      </c>
      <c r="C931" s="211" t="s">
        <v>3906</v>
      </c>
      <c r="D931" s="212">
        <v>11.22</v>
      </c>
      <c r="E931" s="212">
        <v>2.1800000000000002</v>
      </c>
      <c r="F931" s="212" t="s">
        <v>2359</v>
      </c>
      <c r="G931" s="209"/>
      <c r="I931" s="209"/>
      <c r="J931" s="209"/>
      <c r="K931" s="209"/>
    </row>
    <row r="932" spans="1:11">
      <c r="A932" s="208"/>
      <c r="B932" s="209" t="s">
        <v>3826</v>
      </c>
      <c r="C932" s="211" t="s">
        <v>3907</v>
      </c>
      <c r="D932" s="209" t="s">
        <v>1992</v>
      </c>
      <c r="E932" s="212">
        <v>2.2400000000000002</v>
      </c>
      <c r="F932" s="212" t="s">
        <v>341</v>
      </c>
      <c r="G932" s="209"/>
      <c r="I932" s="209"/>
      <c r="J932" s="209"/>
      <c r="K932" s="209"/>
    </row>
    <row r="933" spans="1:11">
      <c r="A933" s="208"/>
      <c r="B933" s="209" t="s">
        <v>3826</v>
      </c>
      <c r="C933" s="211" t="s">
        <v>3908</v>
      </c>
      <c r="D933" s="212">
        <v>11.21</v>
      </c>
      <c r="E933" s="212">
        <v>2.56</v>
      </c>
      <c r="F933" s="212" t="s">
        <v>341</v>
      </c>
      <c r="G933" s="209"/>
      <c r="H933" s="215"/>
      <c r="I933" s="209"/>
      <c r="J933" s="209"/>
      <c r="K933" s="209"/>
    </row>
    <row r="934" spans="1:11">
      <c r="A934" s="208"/>
      <c r="B934" s="209" t="s">
        <v>3826</v>
      </c>
      <c r="C934" s="211" t="s">
        <v>2538</v>
      </c>
      <c r="D934" s="212">
        <v>11.58</v>
      </c>
      <c r="E934" s="212">
        <v>1.9</v>
      </c>
      <c r="F934" s="212" t="s">
        <v>2370</v>
      </c>
      <c r="G934" s="209"/>
      <c r="H934" s="215"/>
      <c r="I934" s="209"/>
      <c r="J934" s="209"/>
      <c r="K934" s="209"/>
    </row>
    <row r="935" spans="1:11">
      <c r="A935" s="208"/>
      <c r="B935" s="209" t="s">
        <v>3826</v>
      </c>
      <c r="C935" s="211" t="s">
        <v>3909</v>
      </c>
      <c r="D935" s="212">
        <v>11.62</v>
      </c>
      <c r="E935" s="212">
        <v>1.95</v>
      </c>
      <c r="F935" s="212" t="s">
        <v>3560</v>
      </c>
      <c r="G935" s="209"/>
      <c r="H935" s="215"/>
      <c r="I935" s="212"/>
      <c r="J935" s="212"/>
      <c r="K935" s="209"/>
    </row>
    <row r="936" spans="1:11">
      <c r="A936" s="208"/>
      <c r="B936" s="209" t="s">
        <v>3826</v>
      </c>
      <c r="C936" s="211" t="s">
        <v>3910</v>
      </c>
      <c r="D936" s="212">
        <v>11.6</v>
      </c>
      <c r="E936" s="212">
        <v>1.78</v>
      </c>
      <c r="F936" s="212" t="s">
        <v>332</v>
      </c>
      <c r="G936" s="212"/>
      <c r="I936" s="212"/>
      <c r="J936" s="212"/>
      <c r="K936" s="209"/>
    </row>
    <row r="937" spans="1:11">
      <c r="A937" s="208"/>
      <c r="B937" s="209" t="s">
        <v>3826</v>
      </c>
      <c r="C937" s="211" t="s">
        <v>3911</v>
      </c>
      <c r="D937" s="209" t="s">
        <v>1230</v>
      </c>
      <c r="E937" s="212">
        <v>2.33</v>
      </c>
      <c r="F937" s="212" t="s">
        <v>2339</v>
      </c>
      <c r="G937" s="212"/>
      <c r="I937" s="209"/>
      <c r="J937" s="209"/>
      <c r="K937" s="209"/>
    </row>
    <row r="938" spans="1:11">
      <c r="A938" s="208"/>
      <c r="B938" s="209" t="s">
        <v>3827</v>
      </c>
      <c r="C938" s="211" t="s">
        <v>2540</v>
      </c>
      <c r="D938" s="212">
        <v>10.84</v>
      </c>
      <c r="E938" s="212">
        <v>2.1800000000000002</v>
      </c>
      <c r="F938" s="212" t="s">
        <v>2341</v>
      </c>
      <c r="G938" s="212"/>
      <c r="I938" s="209"/>
      <c r="J938" s="209"/>
      <c r="K938" s="209"/>
    </row>
    <row r="939" spans="1:11">
      <c r="A939" s="208"/>
      <c r="B939" s="209" t="s">
        <v>3827</v>
      </c>
      <c r="C939" s="211" t="s">
        <v>2541</v>
      </c>
      <c r="D939" s="212">
        <v>11.63</v>
      </c>
      <c r="E939" s="212">
        <v>2.2799999999999998</v>
      </c>
      <c r="F939" s="212" t="s">
        <v>3539</v>
      </c>
      <c r="G939" s="212"/>
      <c r="H939" s="215"/>
      <c r="I939" s="212"/>
      <c r="J939" s="212"/>
      <c r="K939" s="212"/>
    </row>
    <row r="940" spans="1:11">
      <c r="A940" s="208"/>
      <c r="B940" s="209" t="s">
        <v>3829</v>
      </c>
      <c r="C940" s="211" t="s">
        <v>2566</v>
      </c>
      <c r="D940" s="212">
        <v>10.4</v>
      </c>
      <c r="E940" s="212">
        <v>1.88</v>
      </c>
      <c r="F940" s="212" t="s">
        <v>3527</v>
      </c>
      <c r="G940" s="212"/>
      <c r="H940" s="215"/>
      <c r="I940" s="209"/>
      <c r="J940" s="209"/>
      <c r="K940" s="209"/>
    </row>
    <row r="941" spans="1:11">
      <c r="A941" s="208"/>
      <c r="B941" s="209" t="s">
        <v>3829</v>
      </c>
      <c r="C941" s="211" t="s">
        <v>2567</v>
      </c>
      <c r="D941" s="209" t="s">
        <v>1236</v>
      </c>
      <c r="E941" s="212">
        <v>1.91</v>
      </c>
      <c r="F941" s="212" t="s">
        <v>2374</v>
      </c>
      <c r="G941" s="212"/>
      <c r="I941" s="209"/>
      <c r="J941" s="209"/>
      <c r="K941" s="209"/>
    </row>
    <row r="942" spans="1:11">
      <c r="A942" s="208"/>
      <c r="B942" s="209" t="s">
        <v>3829</v>
      </c>
      <c r="C942" s="211" t="s">
        <v>2568</v>
      </c>
      <c r="D942" s="212">
        <v>12.51</v>
      </c>
      <c r="E942" s="212">
        <v>1.85</v>
      </c>
      <c r="F942" s="212" t="s">
        <v>2569</v>
      </c>
      <c r="G942" s="212"/>
      <c r="I942" s="209"/>
      <c r="J942" s="209"/>
      <c r="K942" s="209"/>
    </row>
    <row r="943" spans="1:11">
      <c r="A943" s="208"/>
      <c r="B943" s="209" t="s">
        <v>3830</v>
      </c>
      <c r="C943" s="211" t="s">
        <v>2570</v>
      </c>
      <c r="D943" s="212">
        <v>9.0399999999999991</v>
      </c>
      <c r="E943" s="212">
        <v>1.6</v>
      </c>
      <c r="F943" s="212" t="s">
        <v>332</v>
      </c>
      <c r="G943" s="212"/>
      <c r="I943" s="212"/>
      <c r="J943" s="212"/>
      <c r="K943" s="212"/>
    </row>
    <row r="944" spans="1:11">
      <c r="A944" s="208"/>
      <c r="B944" s="209" t="s">
        <v>3830</v>
      </c>
      <c r="C944" s="211" t="s">
        <v>2571</v>
      </c>
      <c r="D944" s="212">
        <v>9.14</v>
      </c>
      <c r="E944" s="212">
        <v>1.55</v>
      </c>
      <c r="F944" s="212" t="s">
        <v>3508</v>
      </c>
      <c r="G944" s="209"/>
      <c r="I944" s="209"/>
      <c r="J944" s="209"/>
      <c r="K944" s="209"/>
    </row>
    <row r="945" spans="1:11">
      <c r="A945" s="208"/>
      <c r="B945" s="209" t="s">
        <v>3830</v>
      </c>
      <c r="C945" s="211" t="s">
        <v>2572</v>
      </c>
      <c r="D945" s="212">
        <v>10.32</v>
      </c>
      <c r="E945" s="212">
        <v>1.85</v>
      </c>
      <c r="F945" s="212" t="s">
        <v>329</v>
      </c>
      <c r="G945" s="209"/>
      <c r="H945" s="215"/>
      <c r="I945" s="209"/>
      <c r="J945" s="209"/>
      <c r="K945" s="209"/>
    </row>
    <row r="946" spans="1:11">
      <c r="A946" s="208"/>
      <c r="B946" s="209" t="s">
        <v>3830</v>
      </c>
      <c r="C946" s="211" t="s">
        <v>2573</v>
      </c>
      <c r="D946" s="212">
        <v>12.07</v>
      </c>
      <c r="E946" s="212">
        <v>2.09</v>
      </c>
      <c r="F946" s="212" t="s">
        <v>3508</v>
      </c>
      <c r="G946" s="212"/>
      <c r="H946" s="215"/>
      <c r="I946" s="209"/>
      <c r="J946" s="209"/>
      <c r="K946" s="209"/>
    </row>
    <row r="947" spans="1:11">
      <c r="A947" s="208"/>
      <c r="B947" s="209" t="s">
        <v>3830</v>
      </c>
      <c r="C947" s="211" t="s">
        <v>2574</v>
      </c>
      <c r="D947" s="212">
        <v>9.0500000000000007</v>
      </c>
      <c r="E947" s="212">
        <v>1.68</v>
      </c>
      <c r="F947" s="212" t="s">
        <v>324</v>
      </c>
      <c r="G947" s="209"/>
      <c r="I947" s="209"/>
      <c r="J947" s="209"/>
      <c r="K947" s="209"/>
    </row>
    <row r="948" spans="1:11">
      <c r="A948" s="208"/>
      <c r="B948" s="209" t="s">
        <v>3810</v>
      </c>
      <c r="C948" s="211">
        <v>747</v>
      </c>
      <c r="D948" s="212">
        <v>7.47</v>
      </c>
      <c r="E948" s="212">
        <v>1.75</v>
      </c>
      <c r="F948" s="209" t="s">
        <v>2344</v>
      </c>
      <c r="G948" s="209"/>
      <c r="I948" s="212"/>
      <c r="J948" s="212"/>
      <c r="K948" s="212"/>
    </row>
    <row r="949" spans="1:11">
      <c r="A949" s="208"/>
      <c r="B949" s="209" t="s">
        <v>3810</v>
      </c>
      <c r="C949" s="211" t="s">
        <v>1237</v>
      </c>
      <c r="D949" s="212">
        <v>7.47</v>
      </c>
      <c r="E949" s="209">
        <v>1.71</v>
      </c>
      <c r="F949" s="209" t="s">
        <v>2339</v>
      </c>
      <c r="G949" s="209"/>
      <c r="H949" s="215"/>
      <c r="I949" s="209"/>
      <c r="J949" s="209"/>
      <c r="K949" s="209"/>
    </row>
    <row r="950" spans="1:11">
      <c r="A950" s="208"/>
      <c r="B950" s="209" t="s">
        <v>3810</v>
      </c>
      <c r="C950" s="211" t="s">
        <v>776</v>
      </c>
      <c r="D950" s="212">
        <v>10.25</v>
      </c>
      <c r="E950" s="209">
        <v>1.8</v>
      </c>
      <c r="F950" s="209" t="s">
        <v>2340</v>
      </c>
      <c r="G950" s="209"/>
      <c r="I950" s="212"/>
      <c r="J950" s="212"/>
      <c r="K950" s="212"/>
    </row>
    <row r="951" spans="1:11">
      <c r="A951" s="208"/>
      <c r="B951" s="209" t="s">
        <v>3810</v>
      </c>
      <c r="C951" s="211" t="s">
        <v>2095</v>
      </c>
      <c r="D951" s="212">
        <v>8</v>
      </c>
      <c r="E951" s="212">
        <v>1.6</v>
      </c>
      <c r="F951" s="212" t="s">
        <v>2341</v>
      </c>
      <c r="G951" s="209"/>
      <c r="I951" s="209"/>
      <c r="J951" s="209"/>
      <c r="K951" s="209"/>
    </row>
    <row r="952" spans="1:11">
      <c r="A952" s="208"/>
      <c r="B952" s="209" t="s">
        <v>3810</v>
      </c>
      <c r="C952" s="211" t="s">
        <v>777</v>
      </c>
      <c r="D952" s="212">
        <v>8</v>
      </c>
      <c r="E952" s="212">
        <v>1.6</v>
      </c>
      <c r="F952" s="212" t="s">
        <v>2341</v>
      </c>
      <c r="G952" s="209"/>
      <c r="I952" s="209"/>
      <c r="J952" s="209"/>
      <c r="K952" s="209"/>
    </row>
    <row r="953" spans="1:11">
      <c r="A953" s="208"/>
      <c r="B953" s="209" t="s">
        <v>3810</v>
      </c>
      <c r="C953" s="211" t="s">
        <v>778</v>
      </c>
      <c r="D953" s="212">
        <v>10.63</v>
      </c>
      <c r="E953" s="212">
        <v>2.31</v>
      </c>
      <c r="F953" s="212" t="s">
        <v>2343</v>
      </c>
      <c r="G953" s="209"/>
      <c r="H953" s="215"/>
      <c r="I953" s="212"/>
      <c r="J953" s="212"/>
      <c r="K953" s="212"/>
    </row>
    <row r="954" spans="1:11">
      <c r="A954" s="208"/>
      <c r="B954" s="209" t="s">
        <v>3810</v>
      </c>
      <c r="C954" s="211" t="s">
        <v>2096</v>
      </c>
      <c r="D954" s="212">
        <v>8</v>
      </c>
      <c r="E954" s="212">
        <v>1.68</v>
      </c>
      <c r="F954" s="212" t="s">
        <v>2341</v>
      </c>
      <c r="G954" s="212"/>
      <c r="I954" s="209"/>
      <c r="J954" s="209"/>
      <c r="K954" s="209"/>
    </row>
    <row r="955" spans="1:11">
      <c r="A955" s="208"/>
      <c r="B955" s="209" t="s">
        <v>3810</v>
      </c>
      <c r="C955" s="211" t="s">
        <v>2356</v>
      </c>
      <c r="D955" s="212">
        <v>10.199999999999999</v>
      </c>
      <c r="E955" s="212">
        <v>1.77</v>
      </c>
      <c r="F955" s="212" t="s">
        <v>2357</v>
      </c>
      <c r="G955" s="212"/>
      <c r="I955" s="209"/>
      <c r="J955" s="209"/>
      <c r="K955" s="209"/>
    </row>
    <row r="956" spans="1:11">
      <c r="A956" s="208"/>
      <c r="B956" s="209" t="s">
        <v>3810</v>
      </c>
      <c r="C956" s="211" t="s">
        <v>2360</v>
      </c>
      <c r="D956" s="212">
        <v>13.31</v>
      </c>
      <c r="E956" s="212">
        <v>2.42</v>
      </c>
      <c r="F956" s="212" t="s">
        <v>2353</v>
      </c>
      <c r="G956" s="209"/>
      <c r="I956" s="209"/>
      <c r="J956" s="209"/>
      <c r="K956" s="209"/>
    </row>
    <row r="957" spans="1:11">
      <c r="A957" s="208"/>
      <c r="B957" s="209" t="s">
        <v>3810</v>
      </c>
      <c r="C957" s="211" t="s">
        <v>2361</v>
      </c>
      <c r="D957" s="212">
        <v>12.18</v>
      </c>
      <c r="E957" s="212">
        <v>3</v>
      </c>
      <c r="F957" s="209" t="s">
        <v>2362</v>
      </c>
      <c r="G957" s="209"/>
      <c r="I957" s="212"/>
      <c r="J957" s="212"/>
      <c r="K957" s="212"/>
    </row>
    <row r="958" spans="1:11">
      <c r="A958" s="208"/>
      <c r="B958" s="209" t="s">
        <v>3810</v>
      </c>
      <c r="C958" s="211" t="s">
        <v>2363</v>
      </c>
      <c r="D958" s="212">
        <v>10.6</v>
      </c>
      <c r="E958" s="212">
        <v>1.54</v>
      </c>
      <c r="F958" s="212" t="s">
        <v>2364</v>
      </c>
      <c r="G958" s="209"/>
      <c r="H958" s="215"/>
      <c r="I958" s="209"/>
      <c r="J958" s="209"/>
      <c r="K958" s="209"/>
    </row>
    <row r="959" spans="1:11">
      <c r="A959" s="208"/>
      <c r="B959" s="209" t="s">
        <v>3810</v>
      </c>
      <c r="C959" s="211" t="s">
        <v>2376</v>
      </c>
      <c r="D959" s="212">
        <v>8.61</v>
      </c>
      <c r="E959" s="212">
        <v>1.39</v>
      </c>
      <c r="F959" s="212" t="s">
        <v>2377</v>
      </c>
      <c r="G959" s="212"/>
      <c r="I959" s="209"/>
      <c r="J959" s="209"/>
      <c r="K959" s="209"/>
    </row>
    <row r="960" spans="1:11">
      <c r="A960" s="208"/>
      <c r="B960" s="209" t="s">
        <v>3810</v>
      </c>
      <c r="C960" s="211" t="s">
        <v>301</v>
      </c>
      <c r="D960" s="212">
        <v>11.7</v>
      </c>
      <c r="E960" s="212">
        <v>1.83</v>
      </c>
      <c r="F960" s="212" t="s">
        <v>2343</v>
      </c>
      <c r="G960" s="212"/>
      <c r="H960" s="215"/>
      <c r="I960" s="209"/>
      <c r="J960" s="209"/>
      <c r="K960" s="209"/>
    </row>
    <row r="961" spans="1:11">
      <c r="A961" s="208"/>
      <c r="B961" s="209" t="s">
        <v>3810</v>
      </c>
      <c r="C961" s="211" t="s">
        <v>302</v>
      </c>
      <c r="D961" s="212">
        <v>9.9499999999999993</v>
      </c>
      <c r="E961" s="212">
        <v>1.65</v>
      </c>
      <c r="F961" s="209" t="s">
        <v>2353</v>
      </c>
      <c r="G961" s="212"/>
      <c r="I961" s="209"/>
      <c r="J961" s="209"/>
      <c r="K961" s="209"/>
    </row>
    <row r="962" spans="1:11">
      <c r="A962" s="208"/>
      <c r="B962" s="209" t="s">
        <v>3810</v>
      </c>
      <c r="C962" s="211" t="s">
        <v>303</v>
      </c>
      <c r="D962" s="212">
        <v>11.7</v>
      </c>
      <c r="E962" s="212">
        <v>2</v>
      </c>
      <c r="F962" s="212" t="s">
        <v>2377</v>
      </c>
      <c r="G962" s="209"/>
      <c r="I962" s="209"/>
      <c r="J962" s="209"/>
      <c r="K962" s="209"/>
    </row>
    <row r="963" spans="1:11">
      <c r="A963" s="208"/>
      <c r="B963" s="209" t="s">
        <v>3810</v>
      </c>
      <c r="C963" s="211" t="s">
        <v>304</v>
      </c>
      <c r="D963" s="212">
        <v>8.56</v>
      </c>
      <c r="E963" s="209" t="s">
        <v>305</v>
      </c>
      <c r="F963" s="212" t="s">
        <v>306</v>
      </c>
      <c r="G963" s="209"/>
      <c r="H963" s="215"/>
      <c r="I963" s="209"/>
      <c r="J963" s="209"/>
      <c r="K963" s="209"/>
    </row>
    <row r="964" spans="1:11">
      <c r="A964" s="208"/>
      <c r="B964" s="209" t="s">
        <v>3810</v>
      </c>
      <c r="C964" s="211" t="s">
        <v>312</v>
      </c>
      <c r="D964" s="212">
        <v>9.24</v>
      </c>
      <c r="E964" s="212">
        <v>1.34</v>
      </c>
      <c r="F964" s="212" t="s">
        <v>313</v>
      </c>
      <c r="G964" s="209"/>
      <c r="I964" s="209"/>
      <c r="J964" s="209"/>
      <c r="K964" s="209"/>
    </row>
    <row r="965" spans="1:11">
      <c r="A965" s="208"/>
      <c r="B965" s="209" t="s">
        <v>3810</v>
      </c>
      <c r="C965" s="211" t="s">
        <v>317</v>
      </c>
      <c r="D965" s="209" t="s">
        <v>1976</v>
      </c>
      <c r="E965" s="209" t="s">
        <v>305</v>
      </c>
      <c r="F965" s="212" t="s">
        <v>2362</v>
      </c>
      <c r="G965" s="212"/>
      <c r="I965" s="209"/>
      <c r="J965" s="209"/>
      <c r="K965" s="209"/>
    </row>
    <row r="966" spans="1:11">
      <c r="A966" s="208"/>
      <c r="B966" s="209" t="s">
        <v>3810</v>
      </c>
      <c r="C966" s="211" t="s">
        <v>318</v>
      </c>
      <c r="D966" s="209" t="s">
        <v>1977</v>
      </c>
      <c r="E966" s="212">
        <v>2.0099999999999998</v>
      </c>
      <c r="F966" s="212" t="s">
        <v>319</v>
      </c>
      <c r="G966" s="212"/>
      <c r="I966" s="209"/>
      <c r="J966" s="209"/>
      <c r="K966" s="209"/>
    </row>
    <row r="967" spans="1:11">
      <c r="A967" s="208"/>
      <c r="B967" s="209" t="s">
        <v>3810</v>
      </c>
      <c r="C967" s="211" t="s">
        <v>504</v>
      </c>
      <c r="D967" s="209" t="s">
        <v>2056</v>
      </c>
      <c r="E967" s="209" t="s">
        <v>505</v>
      </c>
      <c r="F967" s="209" t="s">
        <v>2347</v>
      </c>
      <c r="G967" s="209"/>
      <c r="H967" s="215"/>
      <c r="I967" s="209"/>
      <c r="J967" s="209"/>
      <c r="K967" s="209"/>
    </row>
    <row r="968" spans="1:11">
      <c r="A968" s="208"/>
      <c r="B968" s="209" t="s">
        <v>3810</v>
      </c>
      <c r="C968" s="211" t="s">
        <v>320</v>
      </c>
      <c r="D968" s="212">
        <v>6.57</v>
      </c>
      <c r="E968" s="212">
        <v>1.42</v>
      </c>
      <c r="F968" s="212" t="s">
        <v>321</v>
      </c>
      <c r="G968" s="209"/>
      <c r="I968" s="209"/>
      <c r="J968" s="209"/>
      <c r="K968" s="209"/>
    </row>
    <row r="969" spans="1:11">
      <c r="A969" s="208"/>
      <c r="B969" s="209" t="s">
        <v>3810</v>
      </c>
      <c r="C969" s="211" t="s">
        <v>1666</v>
      </c>
      <c r="D969" s="209" t="s">
        <v>1667</v>
      </c>
      <c r="E969" s="209" t="s">
        <v>1668</v>
      </c>
      <c r="F969" s="209" t="s">
        <v>2347</v>
      </c>
      <c r="G969" s="209"/>
      <c r="I969" s="209"/>
      <c r="J969" s="209"/>
      <c r="K969" s="209"/>
    </row>
    <row r="970" spans="1:11">
      <c r="A970" s="208"/>
      <c r="B970" s="209" t="s">
        <v>3810</v>
      </c>
      <c r="C970" s="211" t="s">
        <v>357</v>
      </c>
      <c r="D970" s="212">
        <v>12.32</v>
      </c>
      <c r="E970" s="212">
        <v>1.26</v>
      </c>
      <c r="F970" s="212" t="s">
        <v>358</v>
      </c>
      <c r="G970" s="209"/>
      <c r="I970" s="209"/>
      <c r="J970" s="209"/>
      <c r="K970" s="209"/>
    </row>
    <row r="971" spans="1:11">
      <c r="A971" s="208"/>
      <c r="B971" s="209" t="s">
        <v>3810</v>
      </c>
      <c r="C971" s="211" t="s">
        <v>3506</v>
      </c>
      <c r="D971" s="212">
        <v>11.07</v>
      </c>
      <c r="E971" s="212">
        <v>1.99</v>
      </c>
      <c r="F971" s="212" t="s">
        <v>306</v>
      </c>
      <c r="G971" s="212"/>
      <c r="I971" s="209"/>
      <c r="J971" s="209"/>
      <c r="K971" s="209"/>
    </row>
    <row r="972" spans="1:11">
      <c r="A972" s="208"/>
      <c r="B972" s="209" t="s">
        <v>3810</v>
      </c>
      <c r="C972" s="211" t="s">
        <v>3507</v>
      </c>
      <c r="D972" s="212">
        <v>9.4499999999999993</v>
      </c>
      <c r="E972" s="212">
        <v>1.84</v>
      </c>
      <c r="F972" s="212" t="s">
        <v>3508</v>
      </c>
      <c r="G972" s="212"/>
      <c r="I972" s="209"/>
      <c r="J972" s="209"/>
      <c r="K972" s="209"/>
    </row>
    <row r="973" spans="1:11">
      <c r="A973" s="208"/>
      <c r="B973" s="209" t="s">
        <v>3810</v>
      </c>
      <c r="C973" s="211" t="s">
        <v>3509</v>
      </c>
      <c r="D973" s="212">
        <v>10.94</v>
      </c>
      <c r="E973" s="212">
        <v>1.82</v>
      </c>
      <c r="F973" s="212" t="s">
        <v>3510</v>
      </c>
      <c r="G973" s="209"/>
      <c r="I973" s="209"/>
      <c r="J973" s="209"/>
      <c r="K973" s="209"/>
    </row>
    <row r="974" spans="1:11">
      <c r="A974" s="208"/>
      <c r="B974" s="209" t="s">
        <v>3810</v>
      </c>
      <c r="C974" s="211" t="s">
        <v>3511</v>
      </c>
      <c r="D974" s="212">
        <v>7.03</v>
      </c>
      <c r="E974" s="209" t="s">
        <v>305</v>
      </c>
      <c r="F974" s="212" t="s">
        <v>2370</v>
      </c>
      <c r="G974" s="209"/>
      <c r="I974" s="209"/>
      <c r="J974" s="209"/>
      <c r="K974" s="209"/>
    </row>
    <row r="975" spans="1:11">
      <c r="A975" s="208"/>
      <c r="B975" s="209" t="s">
        <v>3810</v>
      </c>
      <c r="C975" s="211" t="s">
        <v>3512</v>
      </c>
      <c r="D975" s="209" t="s">
        <v>1987</v>
      </c>
      <c r="E975" s="212">
        <v>1.5</v>
      </c>
      <c r="F975" s="212" t="s">
        <v>327</v>
      </c>
      <c r="G975" s="212"/>
      <c r="I975" s="209"/>
      <c r="J975" s="209"/>
      <c r="K975" s="209"/>
    </row>
    <row r="976" spans="1:11">
      <c r="A976" s="208"/>
      <c r="B976" s="209" t="s">
        <v>3810</v>
      </c>
      <c r="C976" s="211" t="s">
        <v>3513</v>
      </c>
      <c r="D976" s="212">
        <v>7.78</v>
      </c>
      <c r="E976" s="212">
        <v>1.5</v>
      </c>
      <c r="F976" s="212" t="s">
        <v>2353</v>
      </c>
      <c r="G976" s="209"/>
      <c r="I976" s="209"/>
      <c r="J976" s="209"/>
      <c r="K976" s="209"/>
    </row>
    <row r="977" spans="1:11">
      <c r="A977" s="208"/>
      <c r="B977" s="209" t="s">
        <v>3810</v>
      </c>
      <c r="C977" s="211" t="s">
        <v>3514</v>
      </c>
      <c r="D977" s="212">
        <v>10.82</v>
      </c>
      <c r="E977" s="212">
        <v>1.96</v>
      </c>
      <c r="F977" s="212" t="s">
        <v>2372</v>
      </c>
      <c r="G977" s="209"/>
      <c r="I977" s="209"/>
      <c r="J977" s="209"/>
      <c r="K977" s="209"/>
    </row>
    <row r="978" spans="1:11">
      <c r="A978" s="208"/>
      <c r="B978" s="209" t="s">
        <v>3810</v>
      </c>
      <c r="C978" s="211" t="s">
        <v>571</v>
      </c>
      <c r="D978" s="209" t="s">
        <v>572</v>
      </c>
      <c r="E978" s="209" t="s">
        <v>573</v>
      </c>
      <c r="F978" s="209" t="s">
        <v>1113</v>
      </c>
      <c r="G978" s="209"/>
      <c r="I978" s="209"/>
      <c r="J978" s="209"/>
      <c r="K978" s="209"/>
    </row>
    <row r="979" spans="1:11">
      <c r="A979" s="208"/>
      <c r="B979" s="209" t="s">
        <v>3810</v>
      </c>
      <c r="C979" s="211" t="s">
        <v>1669</v>
      </c>
      <c r="D979" s="209" t="s">
        <v>1988</v>
      </c>
      <c r="E979" s="209" t="s">
        <v>1998</v>
      </c>
      <c r="F979" s="209" t="s">
        <v>310</v>
      </c>
      <c r="G979" s="212"/>
      <c r="I979" s="209"/>
      <c r="J979" s="209"/>
      <c r="K979" s="209"/>
    </row>
    <row r="980" spans="1:11">
      <c r="A980" s="208"/>
      <c r="B980" s="209" t="s">
        <v>3810</v>
      </c>
      <c r="C980" s="211" t="s">
        <v>1670</v>
      </c>
      <c r="D980" s="209" t="s">
        <v>1671</v>
      </c>
      <c r="E980" s="209" t="s">
        <v>1672</v>
      </c>
      <c r="F980" s="209" t="s">
        <v>2348</v>
      </c>
      <c r="G980" s="209"/>
      <c r="I980" s="212"/>
      <c r="J980" s="212"/>
      <c r="K980" s="212"/>
    </row>
    <row r="981" spans="1:11">
      <c r="A981" s="208"/>
      <c r="B981" s="209" t="s">
        <v>3810</v>
      </c>
      <c r="C981" s="211" t="s">
        <v>3515</v>
      </c>
      <c r="D981" s="212">
        <v>18.739999999999998</v>
      </c>
      <c r="E981" s="212">
        <v>3.85</v>
      </c>
      <c r="F981" s="209" t="s">
        <v>314</v>
      </c>
      <c r="G981" s="209"/>
      <c r="I981" s="209"/>
      <c r="J981" s="209"/>
      <c r="K981" s="209"/>
    </row>
    <row r="982" spans="1:11">
      <c r="A982" s="208"/>
      <c r="B982" s="209" t="s">
        <v>3810</v>
      </c>
      <c r="C982" s="211" t="s">
        <v>5592</v>
      </c>
      <c r="D982" s="212" t="s">
        <v>2044</v>
      </c>
      <c r="E982" s="212" t="s">
        <v>405</v>
      </c>
      <c r="F982" s="209" t="s">
        <v>5419</v>
      </c>
      <c r="G982" s="209"/>
      <c r="I982" s="209"/>
      <c r="J982" s="209"/>
      <c r="K982" s="209"/>
    </row>
    <row r="983" spans="1:11">
      <c r="A983" s="208"/>
      <c r="B983" s="209" t="s">
        <v>3810</v>
      </c>
      <c r="C983" s="211" t="s">
        <v>5410</v>
      </c>
      <c r="D983" s="212" t="s">
        <v>5411</v>
      </c>
      <c r="E983" s="212" t="s">
        <v>1672</v>
      </c>
      <c r="F983" s="209" t="s">
        <v>4674</v>
      </c>
      <c r="G983" s="209"/>
      <c r="I983" s="209"/>
      <c r="J983" s="209"/>
      <c r="K983" s="209"/>
    </row>
    <row r="984" spans="1:11">
      <c r="A984" s="208"/>
      <c r="B984" s="209" t="s">
        <v>3810</v>
      </c>
      <c r="C984" s="211" t="s">
        <v>3537</v>
      </c>
      <c r="D984" s="212">
        <v>9.1</v>
      </c>
      <c r="E984" s="212">
        <v>1.8</v>
      </c>
      <c r="F984" s="212" t="s">
        <v>326</v>
      </c>
      <c r="G984" s="212"/>
      <c r="I984" s="209"/>
      <c r="J984" s="209"/>
      <c r="K984" s="209"/>
    </row>
    <row r="985" spans="1:11">
      <c r="A985" s="208"/>
      <c r="B985" s="209" t="s">
        <v>3810</v>
      </c>
      <c r="C985" s="211" t="s">
        <v>3538</v>
      </c>
      <c r="D985" s="212">
        <v>11.38</v>
      </c>
      <c r="E985" s="212">
        <v>2.13</v>
      </c>
      <c r="F985" s="212" t="s">
        <v>3539</v>
      </c>
      <c r="G985" s="209"/>
      <c r="I985" s="212"/>
      <c r="J985" s="212"/>
      <c r="K985" s="212"/>
    </row>
    <row r="986" spans="1:11">
      <c r="A986" s="208"/>
      <c r="B986" s="209" t="s">
        <v>3810</v>
      </c>
      <c r="C986" s="211" t="s">
        <v>1676</v>
      </c>
      <c r="D986" s="209" t="s">
        <v>1677</v>
      </c>
      <c r="E986" s="209" t="s">
        <v>1678</v>
      </c>
      <c r="F986" s="209" t="s">
        <v>3000</v>
      </c>
      <c r="G986" s="212"/>
      <c r="I986" s="212"/>
      <c r="J986" s="212"/>
      <c r="K986" s="212"/>
    </row>
    <row r="987" spans="1:11">
      <c r="A987" s="208"/>
      <c r="B987" s="209" t="s">
        <v>3810</v>
      </c>
      <c r="C987" s="211" t="s">
        <v>3546</v>
      </c>
      <c r="D987" s="212">
        <v>10.210000000000001</v>
      </c>
      <c r="E987" s="212">
        <v>1.9</v>
      </c>
      <c r="F987" s="212" t="s">
        <v>2340</v>
      </c>
      <c r="G987" s="209"/>
      <c r="I987" s="212"/>
      <c r="J987" s="212"/>
      <c r="K987" s="212"/>
    </row>
    <row r="988" spans="1:11">
      <c r="A988" s="208"/>
      <c r="B988" s="209" t="s">
        <v>3810</v>
      </c>
      <c r="C988" s="211" t="s">
        <v>3547</v>
      </c>
      <c r="D988" s="212">
        <v>11.73</v>
      </c>
      <c r="E988" s="212">
        <v>2.09</v>
      </c>
      <c r="F988" s="212" t="s">
        <v>3539</v>
      </c>
      <c r="G988" s="209"/>
      <c r="I988" s="212"/>
      <c r="J988" s="212"/>
      <c r="K988" s="212"/>
    </row>
    <row r="989" spans="1:11">
      <c r="A989" s="208"/>
      <c r="B989" s="209" t="s">
        <v>3810</v>
      </c>
      <c r="C989" s="211" t="s">
        <v>3562</v>
      </c>
      <c r="D989" s="212">
        <v>9.5</v>
      </c>
      <c r="E989" s="212">
        <v>1.83</v>
      </c>
      <c r="F989" s="212" t="s">
        <v>2339</v>
      </c>
      <c r="G989" s="212"/>
      <c r="I989" s="209"/>
      <c r="J989" s="209"/>
      <c r="K989" s="209"/>
    </row>
    <row r="990" spans="1:11">
      <c r="A990" s="208"/>
      <c r="B990" s="209" t="s">
        <v>3810</v>
      </c>
      <c r="C990" s="211" t="s">
        <v>1680</v>
      </c>
      <c r="D990" s="209" t="s">
        <v>1681</v>
      </c>
      <c r="E990" s="209" t="s">
        <v>1675</v>
      </c>
      <c r="F990" s="209" t="s">
        <v>2350</v>
      </c>
      <c r="G990" s="209"/>
      <c r="H990" s="215"/>
      <c r="I990" s="209"/>
      <c r="J990" s="209"/>
      <c r="K990" s="209"/>
    </row>
    <row r="991" spans="1:11">
      <c r="A991" s="208"/>
      <c r="B991" s="209" t="s">
        <v>3810</v>
      </c>
      <c r="C991" s="211" t="s">
        <v>1682</v>
      </c>
      <c r="D991" s="209" t="s">
        <v>1683</v>
      </c>
      <c r="E991" s="209" t="s">
        <v>1684</v>
      </c>
      <c r="F991" s="209" t="s">
        <v>332</v>
      </c>
      <c r="G991" s="209"/>
      <c r="I991" s="209"/>
      <c r="J991" s="209"/>
      <c r="K991" s="209"/>
    </row>
    <row r="992" spans="1:11">
      <c r="A992" s="208"/>
      <c r="B992" s="209" t="s">
        <v>3810</v>
      </c>
      <c r="C992" s="211" t="s">
        <v>3566</v>
      </c>
      <c r="D992" s="212">
        <v>10.1</v>
      </c>
      <c r="E992" s="212">
        <v>1.9</v>
      </c>
      <c r="F992" s="212" t="s">
        <v>3508</v>
      </c>
      <c r="G992" s="209"/>
      <c r="I992" s="209"/>
      <c r="J992" s="209"/>
      <c r="K992" s="209"/>
    </row>
    <row r="993" spans="1:11">
      <c r="A993" s="208"/>
      <c r="B993" s="209" t="s">
        <v>3810</v>
      </c>
      <c r="C993" s="211" t="s">
        <v>3567</v>
      </c>
      <c r="D993" s="212">
        <v>12.18</v>
      </c>
      <c r="E993" s="212">
        <v>3</v>
      </c>
      <c r="F993" s="209" t="s">
        <v>3568</v>
      </c>
      <c r="G993" s="212"/>
      <c r="I993" s="209"/>
      <c r="J993" s="209"/>
      <c r="K993" s="209"/>
    </row>
    <row r="994" spans="1:11">
      <c r="A994" s="208"/>
      <c r="B994" s="209" t="s">
        <v>3810</v>
      </c>
      <c r="C994" s="211" t="s">
        <v>3569</v>
      </c>
      <c r="D994" s="212">
        <v>12.18</v>
      </c>
      <c r="E994" s="212">
        <v>3</v>
      </c>
      <c r="F994" s="209" t="s">
        <v>3570</v>
      </c>
      <c r="G994" s="209"/>
      <c r="I994" s="212"/>
      <c r="J994" s="212"/>
      <c r="K994" s="212"/>
    </row>
    <row r="995" spans="1:11">
      <c r="A995" s="208"/>
      <c r="B995" s="209" t="s">
        <v>3810</v>
      </c>
      <c r="C995" s="211" t="s">
        <v>3571</v>
      </c>
      <c r="D995" s="212">
        <v>17.829999999999998</v>
      </c>
      <c r="E995" s="212">
        <v>2.2000000000000002</v>
      </c>
      <c r="F995" s="212" t="s">
        <v>2370</v>
      </c>
      <c r="G995" s="209"/>
      <c r="H995" s="215"/>
      <c r="I995" s="212"/>
      <c r="J995" s="212"/>
      <c r="K995" s="212"/>
    </row>
    <row r="996" spans="1:11">
      <c r="A996" s="208"/>
      <c r="B996" s="209" t="s">
        <v>3810</v>
      </c>
      <c r="C996" s="211" t="s">
        <v>574</v>
      </c>
      <c r="D996" s="209" t="s">
        <v>575</v>
      </c>
      <c r="E996" s="209" t="s">
        <v>1678</v>
      </c>
      <c r="F996" s="209" t="s">
        <v>1113</v>
      </c>
      <c r="G996" s="209"/>
      <c r="H996" s="215"/>
      <c r="I996" s="212"/>
      <c r="J996" s="212"/>
      <c r="K996" s="212"/>
    </row>
    <row r="997" spans="1:11">
      <c r="A997" s="208"/>
      <c r="B997" s="209" t="s">
        <v>3810</v>
      </c>
      <c r="C997" s="211" t="s">
        <v>497</v>
      </c>
      <c r="D997" s="209" t="s">
        <v>498</v>
      </c>
      <c r="E997" s="209" t="s">
        <v>436</v>
      </c>
      <c r="F997" s="209" t="s">
        <v>2372</v>
      </c>
      <c r="G997" s="209"/>
      <c r="H997" s="215"/>
      <c r="I997" s="209"/>
      <c r="J997" s="209"/>
      <c r="K997" s="209"/>
    </row>
    <row r="998" spans="1:11">
      <c r="A998" s="208"/>
      <c r="B998" s="209" t="s">
        <v>3810</v>
      </c>
      <c r="C998" s="211" t="s">
        <v>3576</v>
      </c>
      <c r="D998" s="209" t="s">
        <v>2000</v>
      </c>
      <c r="E998" s="212">
        <v>2.04</v>
      </c>
      <c r="F998" s="212" t="s">
        <v>2350</v>
      </c>
      <c r="G998" s="209"/>
      <c r="H998" s="215"/>
      <c r="I998" s="209"/>
      <c r="J998" s="209"/>
      <c r="K998" s="209"/>
    </row>
    <row r="999" spans="1:11">
      <c r="A999" s="208"/>
      <c r="B999" s="209" t="s">
        <v>3810</v>
      </c>
      <c r="C999" s="211" t="s">
        <v>2947</v>
      </c>
      <c r="D999" s="212">
        <v>14.75</v>
      </c>
      <c r="E999" s="212">
        <v>2.0499999999999998</v>
      </c>
      <c r="F999" s="212" t="s">
        <v>2343</v>
      </c>
      <c r="G999" s="209"/>
      <c r="I999" s="209"/>
      <c r="J999" s="209"/>
      <c r="K999" s="209"/>
    </row>
    <row r="1000" spans="1:11">
      <c r="A1000" s="208"/>
      <c r="B1000" s="209" t="s">
        <v>3810</v>
      </c>
      <c r="C1000" s="211" t="s">
        <v>2948</v>
      </c>
      <c r="D1000" s="212">
        <v>9.8000000000000007</v>
      </c>
      <c r="E1000" s="212">
        <v>1.65</v>
      </c>
      <c r="F1000" s="212" t="s">
        <v>3508</v>
      </c>
      <c r="G1000" s="209"/>
      <c r="I1000" s="212"/>
      <c r="J1000" s="212"/>
      <c r="K1000" s="212"/>
    </row>
    <row r="1001" spans="1:11">
      <c r="A1001" s="208"/>
      <c r="B1001" s="209" t="s">
        <v>3810</v>
      </c>
      <c r="C1001" s="211" t="s">
        <v>2958</v>
      </c>
      <c r="D1001" s="212">
        <v>9.19</v>
      </c>
      <c r="E1001" s="212">
        <v>1.4</v>
      </c>
      <c r="F1001" s="212" t="s">
        <v>2339</v>
      </c>
      <c r="G1001" s="209"/>
      <c r="I1001" s="209"/>
      <c r="J1001" s="209"/>
      <c r="K1001" s="209"/>
    </row>
    <row r="1002" spans="1:11">
      <c r="A1002" s="208"/>
      <c r="B1002" s="209" t="s">
        <v>3810</v>
      </c>
      <c r="C1002" s="211" t="s">
        <v>490</v>
      </c>
      <c r="D1002" s="209" t="s">
        <v>491</v>
      </c>
      <c r="E1002" s="209" t="s">
        <v>492</v>
      </c>
      <c r="F1002" s="209" t="s">
        <v>311</v>
      </c>
      <c r="G1002" s="209"/>
      <c r="I1002" s="209"/>
      <c r="J1002" s="209"/>
      <c r="K1002" s="209"/>
    </row>
    <row r="1003" spans="1:11">
      <c r="A1003" s="208"/>
      <c r="B1003" s="209" t="s">
        <v>3810</v>
      </c>
      <c r="C1003" s="211" t="s">
        <v>2962</v>
      </c>
      <c r="D1003" s="212">
        <v>12</v>
      </c>
      <c r="E1003" s="212">
        <v>1.9</v>
      </c>
      <c r="F1003" s="212" t="s">
        <v>319</v>
      </c>
      <c r="G1003" s="209"/>
      <c r="I1003" s="212"/>
      <c r="J1003" s="212"/>
      <c r="K1003" s="212"/>
    </row>
    <row r="1004" spans="1:11">
      <c r="A1004" s="208" t="s">
        <v>2342</v>
      </c>
      <c r="B1004" s="209" t="s">
        <v>3810</v>
      </c>
      <c r="C1004" s="211" t="s">
        <v>2984</v>
      </c>
      <c r="D1004" s="212">
        <v>7.6</v>
      </c>
      <c r="E1004" s="212">
        <v>1.4</v>
      </c>
      <c r="F1004" s="212" t="s">
        <v>2980</v>
      </c>
      <c r="G1004" s="209"/>
      <c r="H1004" s="215"/>
      <c r="I1004" s="209"/>
      <c r="J1004" s="209"/>
      <c r="K1004" s="209"/>
    </row>
    <row r="1005" spans="1:11">
      <c r="A1005" s="208"/>
      <c r="B1005" s="209" t="s">
        <v>3810</v>
      </c>
      <c r="C1005" s="211" t="s">
        <v>2985</v>
      </c>
      <c r="D1005" s="212">
        <v>8.6</v>
      </c>
      <c r="E1005" s="212">
        <v>2.0499999999999998</v>
      </c>
      <c r="F1005" s="212" t="s">
        <v>321</v>
      </c>
      <c r="G1005" s="209"/>
      <c r="H1005" s="215"/>
      <c r="I1005" s="209"/>
      <c r="J1005" s="209"/>
      <c r="K1005" s="209"/>
    </row>
    <row r="1006" spans="1:11">
      <c r="A1006" s="208"/>
      <c r="B1006" s="209" t="s">
        <v>3810</v>
      </c>
      <c r="C1006" s="211" t="s">
        <v>493</v>
      </c>
      <c r="D1006" s="209" t="s">
        <v>2033</v>
      </c>
      <c r="E1006" s="209" t="s">
        <v>405</v>
      </c>
      <c r="F1006" s="209" t="s">
        <v>2345</v>
      </c>
      <c r="G1006" s="209"/>
      <c r="H1006" s="215"/>
      <c r="I1006" s="209"/>
      <c r="J1006" s="209"/>
      <c r="K1006" s="209"/>
    </row>
    <row r="1007" spans="1:11">
      <c r="A1007" s="208"/>
      <c r="B1007" s="209" t="s">
        <v>3810</v>
      </c>
      <c r="C1007" s="211" t="s">
        <v>2986</v>
      </c>
      <c r="D1007" s="212">
        <v>10.25</v>
      </c>
      <c r="E1007" s="212">
        <v>2.2000000000000002</v>
      </c>
      <c r="F1007" s="212" t="s">
        <v>332</v>
      </c>
      <c r="G1007" s="209"/>
      <c r="I1007" s="209"/>
      <c r="J1007" s="209"/>
      <c r="K1007" s="209"/>
    </row>
    <row r="1008" spans="1:11">
      <c r="A1008" s="208" t="s">
        <v>2342</v>
      </c>
      <c r="B1008" s="209" t="s">
        <v>3810</v>
      </c>
      <c r="C1008" s="211" t="s">
        <v>2987</v>
      </c>
      <c r="D1008" s="212">
        <v>7.49</v>
      </c>
      <c r="E1008" s="212">
        <v>1.58</v>
      </c>
      <c r="F1008" s="212" t="s">
        <v>326</v>
      </c>
      <c r="G1008" s="209"/>
      <c r="I1008" s="209"/>
      <c r="J1008" s="209"/>
      <c r="K1008" s="209"/>
    </row>
    <row r="1009" spans="1:11">
      <c r="A1009" s="208"/>
      <c r="B1009" s="209" t="s">
        <v>3810</v>
      </c>
      <c r="C1009" s="211" t="s">
        <v>2988</v>
      </c>
      <c r="D1009" s="212">
        <v>7.49</v>
      </c>
      <c r="E1009" s="212">
        <v>1.58</v>
      </c>
      <c r="F1009" s="212" t="s">
        <v>326</v>
      </c>
      <c r="G1009" s="209"/>
      <c r="I1009" s="209"/>
      <c r="J1009" s="209"/>
      <c r="K1009" s="209"/>
    </row>
    <row r="1010" spans="1:11">
      <c r="A1010" s="208"/>
      <c r="B1010" s="209" t="s">
        <v>3810</v>
      </c>
      <c r="C1010" s="211" t="s">
        <v>2989</v>
      </c>
      <c r="D1010" s="212">
        <v>14.1</v>
      </c>
      <c r="E1010" s="212">
        <v>2.99</v>
      </c>
      <c r="F1010" s="212" t="s">
        <v>310</v>
      </c>
      <c r="G1010" s="209"/>
      <c r="H1010" s="215"/>
      <c r="I1010" s="212"/>
      <c r="J1010" s="212"/>
      <c r="K1010" s="212"/>
    </row>
    <row r="1011" spans="1:11">
      <c r="A1011" s="208"/>
      <c r="B1011" s="209" t="s">
        <v>3810</v>
      </c>
      <c r="C1011" s="211" t="s">
        <v>494</v>
      </c>
      <c r="D1011" s="209" t="s">
        <v>1999</v>
      </c>
      <c r="E1011" s="209" t="s">
        <v>495</v>
      </c>
      <c r="F1011" s="209" t="s">
        <v>3539</v>
      </c>
      <c r="G1011" s="209"/>
      <c r="I1011" s="209"/>
      <c r="J1011" s="209"/>
      <c r="K1011" s="209"/>
    </row>
    <row r="1012" spans="1:11">
      <c r="A1012" s="208"/>
      <c r="B1012" s="209" t="s">
        <v>3810</v>
      </c>
      <c r="C1012" s="211" t="s">
        <v>1102</v>
      </c>
      <c r="D1012" s="212">
        <v>6.68</v>
      </c>
      <c r="E1012" s="212">
        <v>1.37</v>
      </c>
      <c r="F1012" s="212" t="s">
        <v>2357</v>
      </c>
      <c r="G1012" s="209"/>
      <c r="I1012" s="209"/>
      <c r="J1012" s="209"/>
      <c r="K1012" s="209"/>
    </row>
    <row r="1013" spans="1:11">
      <c r="A1013" s="208"/>
      <c r="B1013" s="209" t="s">
        <v>3810</v>
      </c>
      <c r="C1013" s="211" t="s">
        <v>1117</v>
      </c>
      <c r="D1013" s="212">
        <v>9.7899999999999991</v>
      </c>
      <c r="E1013" s="212">
        <v>1.9</v>
      </c>
      <c r="F1013" s="212" t="s">
        <v>2353</v>
      </c>
      <c r="G1013" s="209"/>
      <c r="H1013" s="215"/>
      <c r="I1013" s="209"/>
      <c r="J1013" s="209"/>
      <c r="K1013" s="209"/>
    </row>
    <row r="1014" spans="1:11">
      <c r="A1014" s="208"/>
      <c r="B1014" s="209" t="s">
        <v>3810</v>
      </c>
      <c r="C1014" s="211" t="s">
        <v>5639</v>
      </c>
      <c r="D1014" s="212" t="s">
        <v>5640</v>
      </c>
      <c r="E1014" s="212" t="s">
        <v>5641</v>
      </c>
      <c r="F1014" s="212" t="s">
        <v>5642</v>
      </c>
      <c r="G1014" s="209"/>
      <c r="I1014" s="209"/>
      <c r="J1014" s="209"/>
      <c r="K1014" s="209"/>
    </row>
    <row r="1015" spans="1:11">
      <c r="A1015" s="208"/>
      <c r="B1015" s="209" t="s">
        <v>3810</v>
      </c>
      <c r="C1015" s="211" t="s">
        <v>1118</v>
      </c>
      <c r="D1015" s="212">
        <v>9</v>
      </c>
      <c r="E1015" s="212">
        <v>1.52</v>
      </c>
      <c r="F1015" s="212" t="s">
        <v>2350</v>
      </c>
      <c r="G1015" s="209"/>
      <c r="I1015" s="209"/>
      <c r="J1015" s="209"/>
      <c r="K1015" s="209"/>
    </row>
    <row r="1016" spans="1:11">
      <c r="A1016" s="208"/>
      <c r="B1016" s="209" t="s">
        <v>3810</v>
      </c>
      <c r="C1016" s="211" t="s">
        <v>1119</v>
      </c>
      <c r="D1016" s="212">
        <v>10.050000000000001</v>
      </c>
      <c r="E1016" s="212">
        <v>1.39</v>
      </c>
      <c r="F1016" s="209" t="s">
        <v>2357</v>
      </c>
      <c r="G1016" s="209"/>
      <c r="I1016" s="209"/>
      <c r="J1016" s="209"/>
      <c r="K1016" s="209"/>
    </row>
    <row r="1017" spans="1:11">
      <c r="A1017" s="208"/>
      <c r="B1017" s="209" t="s">
        <v>3810</v>
      </c>
      <c r="C1017" s="211" t="s">
        <v>1120</v>
      </c>
      <c r="D1017" s="212">
        <v>7.26</v>
      </c>
      <c r="E1017" s="212">
        <v>1.1000000000000001</v>
      </c>
      <c r="F1017" s="212" t="s">
        <v>2350</v>
      </c>
      <c r="G1017" s="212"/>
      <c r="I1017" s="209"/>
      <c r="J1017" s="209"/>
      <c r="K1017" s="209"/>
    </row>
    <row r="1018" spans="1:11">
      <c r="A1018" s="208"/>
      <c r="B1018" s="209" t="s">
        <v>3810</v>
      </c>
      <c r="C1018" s="211" t="s">
        <v>1124</v>
      </c>
      <c r="D1018" s="212">
        <v>8.9</v>
      </c>
      <c r="E1018" s="212">
        <v>1.78</v>
      </c>
      <c r="F1018" s="209" t="s">
        <v>2370</v>
      </c>
      <c r="G1018" s="209"/>
      <c r="I1018" s="209"/>
      <c r="J1018" s="209"/>
      <c r="K1018" s="209"/>
    </row>
    <row r="1019" spans="1:11">
      <c r="A1019" s="208"/>
      <c r="B1019" s="209" t="s">
        <v>3810</v>
      </c>
      <c r="C1019" s="211" t="s">
        <v>1125</v>
      </c>
      <c r="D1019" s="212">
        <v>8.5</v>
      </c>
      <c r="E1019" s="212">
        <v>2</v>
      </c>
      <c r="F1019" s="209" t="s">
        <v>321</v>
      </c>
      <c r="G1019" s="209"/>
      <c r="I1019" s="209"/>
      <c r="J1019" s="209"/>
      <c r="K1019" s="209"/>
    </row>
    <row r="1020" spans="1:11">
      <c r="A1020" s="208"/>
      <c r="B1020" s="209" t="s">
        <v>3810</v>
      </c>
      <c r="C1020" s="211" t="s">
        <v>779</v>
      </c>
      <c r="D1020" s="212">
        <v>9.2899999999999991</v>
      </c>
      <c r="E1020" s="212">
        <v>1.35</v>
      </c>
      <c r="F1020" s="212" t="s">
        <v>2374</v>
      </c>
      <c r="G1020" s="209"/>
      <c r="H1020" s="215"/>
      <c r="I1020" s="209"/>
      <c r="J1020" s="209"/>
      <c r="K1020" s="209"/>
    </row>
    <row r="1021" spans="1:11">
      <c r="A1021" s="208"/>
      <c r="B1021" s="209" t="s">
        <v>3810</v>
      </c>
      <c r="C1021" s="211" t="s">
        <v>1131</v>
      </c>
      <c r="D1021" s="209" t="s">
        <v>2025</v>
      </c>
      <c r="E1021" s="212">
        <v>1.52</v>
      </c>
      <c r="F1021" s="209" t="s">
        <v>2353</v>
      </c>
      <c r="G1021" s="209"/>
      <c r="I1021" s="209"/>
      <c r="J1021" s="209"/>
      <c r="K1021" s="209"/>
    </row>
    <row r="1022" spans="1:11">
      <c r="A1022" s="208"/>
      <c r="B1022" s="209" t="s">
        <v>3810</v>
      </c>
      <c r="C1022" s="211" t="s">
        <v>506</v>
      </c>
      <c r="D1022" s="209" t="s">
        <v>507</v>
      </c>
      <c r="E1022" s="209" t="s">
        <v>487</v>
      </c>
      <c r="F1022" s="209" t="s">
        <v>2514</v>
      </c>
      <c r="G1022" s="212"/>
      <c r="I1022" s="209"/>
      <c r="J1022" s="209"/>
      <c r="K1022" s="209"/>
    </row>
    <row r="1023" spans="1:11">
      <c r="A1023" s="208"/>
      <c r="B1023" s="209" t="s">
        <v>3810</v>
      </c>
      <c r="C1023" s="211" t="s">
        <v>1134</v>
      </c>
      <c r="D1023" s="209" t="s">
        <v>2027</v>
      </c>
      <c r="E1023" s="212">
        <v>1.4</v>
      </c>
      <c r="F1023" s="212" t="s">
        <v>2357</v>
      </c>
      <c r="G1023" s="212"/>
      <c r="I1023" s="209"/>
      <c r="J1023" s="209"/>
      <c r="K1023" s="209"/>
    </row>
    <row r="1024" spans="1:11">
      <c r="A1024" s="208"/>
      <c r="B1024" s="209" t="s">
        <v>3810</v>
      </c>
      <c r="C1024" s="211" t="s">
        <v>1135</v>
      </c>
      <c r="D1024" s="212">
        <v>10.050000000000001</v>
      </c>
      <c r="E1024" s="212">
        <v>1.5</v>
      </c>
      <c r="F1024" s="212" t="s">
        <v>332</v>
      </c>
      <c r="G1024" s="212"/>
      <c r="I1024" s="209"/>
      <c r="J1024" s="209"/>
      <c r="K1024" s="209"/>
    </row>
    <row r="1025" spans="1:11">
      <c r="A1025" s="208"/>
      <c r="B1025" s="209" t="s">
        <v>3810</v>
      </c>
      <c r="C1025" s="211" t="s">
        <v>1136</v>
      </c>
      <c r="D1025" s="212">
        <v>7.7</v>
      </c>
      <c r="E1025" s="212">
        <v>1.5</v>
      </c>
      <c r="F1025" s="212" t="s">
        <v>326</v>
      </c>
      <c r="G1025" s="212"/>
      <c r="I1025" s="209"/>
      <c r="J1025" s="209"/>
      <c r="K1025" s="209"/>
    </row>
    <row r="1026" spans="1:11">
      <c r="A1026" s="208"/>
      <c r="B1026" s="209" t="s">
        <v>3810</v>
      </c>
      <c r="C1026" s="211" t="s">
        <v>1157</v>
      </c>
      <c r="D1026" s="209" t="s">
        <v>2035</v>
      </c>
      <c r="E1026" s="212">
        <v>1.79</v>
      </c>
      <c r="F1026" s="212" t="s">
        <v>3530</v>
      </c>
      <c r="G1026" s="209"/>
      <c r="I1026" s="209"/>
      <c r="J1026" s="209"/>
      <c r="K1026" s="209"/>
    </row>
    <row r="1027" spans="1:11">
      <c r="A1027" s="208"/>
      <c r="B1027" s="209" t="s">
        <v>3810</v>
      </c>
      <c r="C1027" s="211" t="s">
        <v>4090</v>
      </c>
      <c r="D1027" s="209" t="s">
        <v>2055</v>
      </c>
      <c r="E1027" s="212">
        <v>0.76</v>
      </c>
      <c r="F1027" s="212" t="s">
        <v>308</v>
      </c>
      <c r="G1027" s="209"/>
      <c r="I1027" s="209"/>
      <c r="J1027" s="209"/>
      <c r="K1027" s="209"/>
    </row>
    <row r="1028" spans="1:11">
      <c r="A1028" s="208"/>
      <c r="B1028" s="209" t="s">
        <v>3810</v>
      </c>
      <c r="C1028" s="211" t="s">
        <v>4091</v>
      </c>
      <c r="D1028" s="209" t="s">
        <v>2056</v>
      </c>
      <c r="E1028" s="212">
        <v>2.2999999999999998</v>
      </c>
      <c r="F1028" s="209" t="s">
        <v>2362</v>
      </c>
      <c r="G1028" s="209"/>
      <c r="I1028" s="209"/>
      <c r="J1028" s="209"/>
      <c r="K1028" s="209"/>
    </row>
    <row r="1029" spans="1:11">
      <c r="A1029" s="208"/>
      <c r="B1029" s="209" t="s">
        <v>3810</v>
      </c>
      <c r="C1029" s="211" t="s">
        <v>4092</v>
      </c>
      <c r="D1029" s="209" t="s">
        <v>2057</v>
      </c>
      <c r="E1029" s="212">
        <v>1.2</v>
      </c>
      <c r="F1029" s="212" t="s">
        <v>4093</v>
      </c>
      <c r="G1029" s="209"/>
      <c r="I1029" s="209"/>
      <c r="J1029" s="209"/>
      <c r="K1029" s="209"/>
    </row>
    <row r="1030" spans="1:11">
      <c r="A1030" s="208"/>
      <c r="B1030" s="209" t="s">
        <v>3810</v>
      </c>
      <c r="C1030" s="211" t="s">
        <v>4094</v>
      </c>
      <c r="D1030" s="212">
        <v>7.64</v>
      </c>
      <c r="E1030" s="212">
        <v>1.2</v>
      </c>
      <c r="F1030" s="212" t="s">
        <v>4093</v>
      </c>
      <c r="G1030" s="209"/>
      <c r="I1030" s="209"/>
      <c r="J1030" s="209"/>
      <c r="K1030" s="209"/>
    </row>
    <row r="1031" spans="1:11">
      <c r="A1031" s="208"/>
      <c r="B1031" s="209" t="s">
        <v>3810</v>
      </c>
      <c r="C1031" s="211" t="s">
        <v>4095</v>
      </c>
      <c r="D1031" s="212">
        <v>7.86</v>
      </c>
      <c r="E1031" s="212">
        <v>1.21</v>
      </c>
      <c r="F1031" s="212" t="s">
        <v>313</v>
      </c>
      <c r="G1031" s="212"/>
      <c r="I1031" s="209"/>
      <c r="J1031" s="209"/>
      <c r="K1031" s="209"/>
    </row>
    <row r="1032" spans="1:11">
      <c r="A1032" s="208"/>
      <c r="B1032" s="209" t="s">
        <v>3810</v>
      </c>
      <c r="C1032" s="211" t="s">
        <v>4096</v>
      </c>
      <c r="D1032" s="212">
        <v>8.27</v>
      </c>
      <c r="E1032" s="212">
        <v>1.66</v>
      </c>
      <c r="F1032" s="212" t="s">
        <v>306</v>
      </c>
      <c r="G1032" s="212"/>
      <c r="I1032" s="209"/>
      <c r="J1032" s="209"/>
      <c r="K1032" s="209"/>
    </row>
    <row r="1033" spans="1:11">
      <c r="A1033" s="208"/>
      <c r="B1033" s="209" t="s">
        <v>3810</v>
      </c>
      <c r="C1033" s="211" t="s">
        <v>4097</v>
      </c>
      <c r="D1033" s="212">
        <v>8.27</v>
      </c>
      <c r="E1033" s="212">
        <v>1.76</v>
      </c>
      <c r="F1033" s="212" t="s">
        <v>306</v>
      </c>
      <c r="G1033" s="212"/>
      <c r="I1033" s="209"/>
      <c r="J1033" s="209"/>
      <c r="K1033" s="209"/>
    </row>
    <row r="1034" spans="1:11">
      <c r="A1034" s="208"/>
      <c r="B1034" s="209" t="s">
        <v>3810</v>
      </c>
      <c r="C1034" s="211" t="s">
        <v>780</v>
      </c>
      <c r="D1034" s="212">
        <v>6.71</v>
      </c>
      <c r="E1034" s="212">
        <v>1.44</v>
      </c>
      <c r="F1034" s="212" t="s">
        <v>3508</v>
      </c>
      <c r="G1034" s="209"/>
      <c r="I1034" s="212"/>
      <c r="J1034" s="212"/>
      <c r="K1034" s="212"/>
    </row>
    <row r="1035" spans="1:11">
      <c r="A1035" s="208"/>
      <c r="B1035" s="209" t="s">
        <v>3810</v>
      </c>
      <c r="C1035" s="211" t="s">
        <v>4098</v>
      </c>
      <c r="D1035" s="212">
        <v>11.03</v>
      </c>
      <c r="E1035" s="212">
        <v>1.97</v>
      </c>
      <c r="F1035" s="212" t="s">
        <v>319</v>
      </c>
      <c r="G1035" s="209"/>
      <c r="I1035" s="212"/>
      <c r="J1035" s="212"/>
      <c r="K1035" s="212"/>
    </row>
    <row r="1036" spans="1:11">
      <c r="A1036" s="208"/>
      <c r="B1036" s="209" t="s">
        <v>3810</v>
      </c>
      <c r="C1036" s="211" t="s">
        <v>4099</v>
      </c>
      <c r="D1036" s="209" t="s">
        <v>2058</v>
      </c>
      <c r="E1036" s="212">
        <v>1.95</v>
      </c>
      <c r="F1036" s="212" t="s">
        <v>3539</v>
      </c>
      <c r="G1036" s="209"/>
      <c r="I1036" s="212"/>
      <c r="J1036" s="212"/>
      <c r="K1036" s="212"/>
    </row>
    <row r="1037" spans="1:11">
      <c r="A1037" s="208"/>
      <c r="B1037" s="209" t="s">
        <v>3810</v>
      </c>
      <c r="C1037" s="211" t="s">
        <v>4100</v>
      </c>
      <c r="D1037" s="212">
        <v>11.04</v>
      </c>
      <c r="E1037" s="212">
        <v>2.08</v>
      </c>
      <c r="F1037" s="212" t="s">
        <v>3508</v>
      </c>
      <c r="G1037" s="212"/>
      <c r="I1037" s="209"/>
      <c r="J1037" s="209"/>
      <c r="K1037" s="209"/>
    </row>
    <row r="1038" spans="1:11">
      <c r="A1038" s="208"/>
      <c r="B1038" s="209" t="s">
        <v>3810</v>
      </c>
      <c r="C1038" s="211" t="s">
        <v>4101</v>
      </c>
      <c r="D1038" s="212">
        <v>11.04</v>
      </c>
      <c r="E1038" s="212">
        <v>2.0499999999999998</v>
      </c>
      <c r="F1038" s="212" t="s">
        <v>3508</v>
      </c>
      <c r="G1038" s="209"/>
      <c r="I1038" s="209"/>
      <c r="J1038" s="209"/>
      <c r="K1038" s="209"/>
    </row>
    <row r="1039" spans="1:11">
      <c r="A1039" s="208"/>
      <c r="B1039" s="209" t="s">
        <v>3810</v>
      </c>
      <c r="C1039" s="211" t="s">
        <v>781</v>
      </c>
      <c r="D1039" s="209" t="s">
        <v>2060</v>
      </c>
      <c r="E1039" s="212">
        <v>1.6</v>
      </c>
      <c r="F1039" s="212" t="s">
        <v>3508</v>
      </c>
      <c r="G1039" s="209"/>
      <c r="I1039" s="209"/>
      <c r="J1039" s="209"/>
      <c r="K1039" s="209"/>
    </row>
    <row r="1040" spans="1:11">
      <c r="A1040" s="208"/>
      <c r="B1040" s="209" t="s">
        <v>3810</v>
      </c>
      <c r="C1040" s="211" t="s">
        <v>4104</v>
      </c>
      <c r="D1040" s="212">
        <v>11.3</v>
      </c>
      <c r="E1040" s="212">
        <v>2.1</v>
      </c>
      <c r="F1040" s="209" t="s">
        <v>306</v>
      </c>
      <c r="G1040" s="212"/>
      <c r="I1040" s="209"/>
      <c r="J1040" s="209"/>
      <c r="K1040" s="209"/>
    </row>
    <row r="1041" spans="1:11">
      <c r="A1041" s="208"/>
      <c r="B1041" s="209" t="s">
        <v>3810</v>
      </c>
      <c r="C1041" s="211" t="s">
        <v>4114</v>
      </c>
      <c r="D1041" s="212">
        <v>10.199999999999999</v>
      </c>
      <c r="E1041" s="212">
        <v>2</v>
      </c>
      <c r="F1041" s="209" t="s">
        <v>341</v>
      </c>
      <c r="G1041" s="209"/>
      <c r="I1041" s="209"/>
      <c r="J1041" s="209"/>
      <c r="K1041" s="209"/>
    </row>
    <row r="1042" spans="1:11">
      <c r="A1042" s="208"/>
      <c r="B1042" s="209" t="s">
        <v>3810</v>
      </c>
      <c r="C1042" s="211" t="s">
        <v>4119</v>
      </c>
      <c r="D1042" s="212">
        <v>10</v>
      </c>
      <c r="E1042" s="212">
        <v>1.8</v>
      </c>
      <c r="F1042" s="212" t="s">
        <v>327</v>
      </c>
      <c r="G1042" s="209"/>
      <c r="I1042" s="209"/>
      <c r="J1042" s="209"/>
      <c r="K1042" s="209"/>
    </row>
    <row r="1043" spans="1:11">
      <c r="A1043" s="208"/>
      <c r="B1043" s="209" t="s">
        <v>3810</v>
      </c>
      <c r="C1043" s="211" t="s">
        <v>4124</v>
      </c>
      <c r="D1043" s="212">
        <v>9.5399999999999991</v>
      </c>
      <c r="E1043" s="212">
        <v>2.0499999999999998</v>
      </c>
      <c r="F1043" s="212" t="s">
        <v>343</v>
      </c>
      <c r="G1043" s="209"/>
      <c r="I1043" s="209"/>
      <c r="J1043" s="209"/>
      <c r="K1043" s="209"/>
    </row>
    <row r="1044" spans="1:11">
      <c r="A1044" s="208"/>
      <c r="B1044" s="209" t="s">
        <v>3810</v>
      </c>
      <c r="C1044" s="211" t="s">
        <v>4125</v>
      </c>
      <c r="D1044" s="212">
        <v>15.85</v>
      </c>
      <c r="E1044" s="212">
        <v>2.85</v>
      </c>
      <c r="F1044" s="212" t="s">
        <v>353</v>
      </c>
      <c r="G1044" s="209"/>
      <c r="H1044" s="215"/>
      <c r="I1044" s="212"/>
      <c r="J1044" s="212"/>
      <c r="K1044" s="212"/>
    </row>
    <row r="1045" spans="1:11">
      <c r="A1045" s="208"/>
      <c r="B1045" s="209" t="s">
        <v>3810</v>
      </c>
      <c r="C1045" s="211" t="s">
        <v>4126</v>
      </c>
      <c r="D1045" s="212">
        <v>8.2799999999999994</v>
      </c>
      <c r="E1045" s="212">
        <v>1.3</v>
      </c>
      <c r="F1045" s="212" t="s">
        <v>313</v>
      </c>
      <c r="G1045" s="209"/>
      <c r="H1045" s="215"/>
      <c r="I1045" s="212"/>
      <c r="J1045" s="212"/>
      <c r="K1045" s="212"/>
    </row>
    <row r="1046" spans="1:11">
      <c r="A1046" s="208"/>
      <c r="B1046" s="209" t="s">
        <v>3810</v>
      </c>
      <c r="C1046" s="211" t="s">
        <v>4013</v>
      </c>
      <c r="D1046" s="212">
        <v>9.35</v>
      </c>
      <c r="E1046" s="212">
        <v>1.79</v>
      </c>
      <c r="F1046" s="212" t="s">
        <v>2353</v>
      </c>
      <c r="G1046" s="209"/>
      <c r="H1046" s="215"/>
      <c r="I1046" s="209"/>
      <c r="J1046" s="209"/>
      <c r="K1046" s="209"/>
    </row>
    <row r="1047" spans="1:11">
      <c r="A1047" s="208"/>
      <c r="B1047" s="209" t="s">
        <v>3810</v>
      </c>
      <c r="C1047" s="211" t="s">
        <v>528</v>
      </c>
      <c r="D1047" s="209" t="s">
        <v>529</v>
      </c>
      <c r="E1047" s="209" t="s">
        <v>530</v>
      </c>
      <c r="F1047" s="209" t="s">
        <v>343</v>
      </c>
      <c r="G1047" s="209"/>
      <c r="I1047" s="209"/>
      <c r="J1047" s="209"/>
      <c r="K1047" s="209"/>
    </row>
    <row r="1048" spans="1:11">
      <c r="A1048" s="208"/>
      <c r="B1048" s="209" t="s">
        <v>3810</v>
      </c>
      <c r="C1048" s="211" t="s">
        <v>4014</v>
      </c>
      <c r="D1048" s="212">
        <v>9.25</v>
      </c>
      <c r="E1048" s="212">
        <v>1.76</v>
      </c>
      <c r="F1048" s="212" t="s">
        <v>3560</v>
      </c>
      <c r="G1048" s="212"/>
      <c r="I1048" s="212"/>
      <c r="J1048" s="212"/>
      <c r="K1048" s="212"/>
    </row>
    <row r="1049" spans="1:11">
      <c r="A1049" s="208"/>
      <c r="B1049" s="209" t="s">
        <v>3810</v>
      </c>
      <c r="C1049" s="211" t="s">
        <v>2075</v>
      </c>
      <c r="D1049" s="209" t="s">
        <v>2076</v>
      </c>
      <c r="E1049" s="212">
        <v>1.95</v>
      </c>
      <c r="F1049" s="209" t="s">
        <v>2343</v>
      </c>
      <c r="G1049" s="209"/>
      <c r="I1049" s="209"/>
      <c r="J1049" s="209"/>
      <c r="K1049" s="209"/>
    </row>
    <row r="1050" spans="1:11">
      <c r="A1050" s="208"/>
      <c r="B1050" s="209" t="s">
        <v>3810</v>
      </c>
      <c r="C1050" s="211" t="s">
        <v>4015</v>
      </c>
      <c r="D1050" s="209" t="s">
        <v>2077</v>
      </c>
      <c r="E1050" s="212">
        <v>2.0299999999999998</v>
      </c>
      <c r="F1050" s="212" t="s">
        <v>3530</v>
      </c>
      <c r="G1050" s="209"/>
      <c r="I1050" s="209"/>
      <c r="J1050" s="209"/>
      <c r="K1050" s="209"/>
    </row>
    <row r="1051" spans="1:11">
      <c r="A1051" s="208"/>
      <c r="B1051" s="209" t="s">
        <v>3810</v>
      </c>
      <c r="C1051" s="211" t="s">
        <v>4016</v>
      </c>
      <c r="D1051" s="209" t="s">
        <v>2078</v>
      </c>
      <c r="E1051" s="212">
        <v>1.6</v>
      </c>
      <c r="F1051" s="212" t="s">
        <v>327</v>
      </c>
      <c r="G1051" s="209"/>
      <c r="I1051" s="209"/>
      <c r="J1051" s="209"/>
      <c r="K1051" s="209"/>
    </row>
    <row r="1052" spans="1:11">
      <c r="A1052" s="208"/>
      <c r="B1052" s="209" t="s">
        <v>3810</v>
      </c>
      <c r="C1052" s="211" t="s">
        <v>4017</v>
      </c>
      <c r="D1052" s="212">
        <v>13.03</v>
      </c>
      <c r="E1052" s="209" t="s">
        <v>305</v>
      </c>
      <c r="F1052" s="212" t="s">
        <v>326</v>
      </c>
      <c r="G1052" s="209"/>
      <c r="I1052" s="209"/>
      <c r="J1052" s="209"/>
      <c r="K1052" s="209"/>
    </row>
    <row r="1053" spans="1:11">
      <c r="A1053" s="208"/>
      <c r="B1053" s="209" t="s">
        <v>3810</v>
      </c>
      <c r="C1053" s="211" t="s">
        <v>4018</v>
      </c>
      <c r="D1053" s="212">
        <v>12.49</v>
      </c>
      <c r="E1053" s="212">
        <v>2.35</v>
      </c>
      <c r="F1053" s="212" t="s">
        <v>3508</v>
      </c>
      <c r="G1053" s="209"/>
      <c r="I1053" s="212"/>
      <c r="J1053" s="212"/>
      <c r="K1053" s="212"/>
    </row>
    <row r="1054" spans="1:11">
      <c r="A1054" s="208"/>
      <c r="B1054" s="209" t="s">
        <v>3810</v>
      </c>
      <c r="C1054" s="211" t="s">
        <v>4019</v>
      </c>
      <c r="D1054" s="212">
        <v>10.64</v>
      </c>
      <c r="E1054" s="212">
        <v>2.2000000000000002</v>
      </c>
      <c r="F1054" s="212" t="s">
        <v>2339</v>
      </c>
      <c r="G1054" s="209"/>
      <c r="H1054" s="215"/>
      <c r="I1054" s="212"/>
      <c r="J1054" s="212"/>
      <c r="K1054" s="212"/>
    </row>
    <row r="1055" spans="1:11">
      <c r="A1055" s="208"/>
      <c r="B1055" s="209" t="s">
        <v>3810</v>
      </c>
      <c r="C1055" s="211" t="s">
        <v>4037</v>
      </c>
      <c r="D1055" s="212">
        <v>9.16</v>
      </c>
      <c r="E1055" s="212">
        <v>1.8</v>
      </c>
      <c r="F1055" s="209" t="s">
        <v>321</v>
      </c>
      <c r="G1055" s="209"/>
      <c r="H1055" s="215"/>
      <c r="I1055" s="209"/>
      <c r="J1055" s="209"/>
      <c r="K1055" s="209"/>
    </row>
    <row r="1056" spans="1:11">
      <c r="A1056" s="208"/>
      <c r="B1056" s="209" t="s">
        <v>3810</v>
      </c>
      <c r="C1056" s="211" t="s">
        <v>4038</v>
      </c>
      <c r="D1056" s="212">
        <v>8.39</v>
      </c>
      <c r="E1056" s="212">
        <v>1.68</v>
      </c>
      <c r="F1056" s="212" t="s">
        <v>327</v>
      </c>
      <c r="G1056" s="209"/>
      <c r="I1056" s="209"/>
      <c r="J1056" s="209"/>
      <c r="K1056" s="209"/>
    </row>
    <row r="1057" spans="1:11">
      <c r="A1057" s="208"/>
      <c r="B1057" s="209" t="s">
        <v>3810</v>
      </c>
      <c r="C1057" s="211" t="s">
        <v>5323</v>
      </c>
      <c r="D1057" s="212" t="s">
        <v>577</v>
      </c>
      <c r="E1057" s="212" t="s">
        <v>480</v>
      </c>
      <c r="F1057" s="212" t="s">
        <v>4660</v>
      </c>
      <c r="G1057" s="209"/>
      <c r="I1057" s="209"/>
      <c r="J1057" s="209"/>
      <c r="K1057" s="209"/>
    </row>
    <row r="1058" spans="1:11">
      <c r="A1058" s="208"/>
      <c r="B1058" s="209" t="s">
        <v>3810</v>
      </c>
      <c r="C1058" s="211" t="s">
        <v>4041</v>
      </c>
      <c r="D1058" s="212">
        <v>6.65</v>
      </c>
      <c r="E1058" s="212">
        <v>1.45</v>
      </c>
      <c r="F1058" s="212" t="s">
        <v>2357</v>
      </c>
      <c r="G1058" s="209"/>
      <c r="H1058" s="215"/>
      <c r="I1058" s="209"/>
      <c r="J1058" s="209"/>
      <c r="K1058" s="209"/>
    </row>
    <row r="1059" spans="1:11">
      <c r="A1059" s="208"/>
      <c r="B1059" s="209" t="s">
        <v>3810</v>
      </c>
      <c r="C1059" s="211" t="s">
        <v>4042</v>
      </c>
      <c r="D1059" s="212">
        <v>6.4</v>
      </c>
      <c r="E1059" s="212">
        <v>1.5</v>
      </c>
      <c r="F1059" s="212" t="s">
        <v>2343</v>
      </c>
      <c r="G1059" s="209"/>
      <c r="I1059" s="209"/>
      <c r="J1059" s="209"/>
      <c r="K1059" s="209"/>
    </row>
    <row r="1060" spans="1:11">
      <c r="A1060" s="208"/>
      <c r="B1060" s="209" t="s">
        <v>3810</v>
      </c>
      <c r="C1060" s="211" t="s">
        <v>4201</v>
      </c>
      <c r="D1060" s="209" t="s">
        <v>2046</v>
      </c>
      <c r="E1060" s="212">
        <v>1.9</v>
      </c>
      <c r="F1060" s="209" t="s">
        <v>4202</v>
      </c>
      <c r="G1060" s="209"/>
      <c r="I1060" s="209"/>
      <c r="J1060" s="209"/>
      <c r="K1060" s="209"/>
    </row>
    <row r="1061" spans="1:11">
      <c r="A1061" s="208"/>
      <c r="B1061" s="209" t="s">
        <v>3810</v>
      </c>
      <c r="C1061" s="211" t="s">
        <v>531</v>
      </c>
      <c r="D1061" s="209" t="s">
        <v>1280</v>
      </c>
      <c r="E1061" s="209" t="s">
        <v>532</v>
      </c>
      <c r="F1061" s="209" t="s">
        <v>2353</v>
      </c>
      <c r="G1061" s="209"/>
      <c r="I1061" s="209"/>
      <c r="J1061" s="209"/>
      <c r="K1061" s="209"/>
    </row>
    <row r="1062" spans="1:11">
      <c r="A1062" s="208"/>
      <c r="B1062" s="209" t="s">
        <v>3810</v>
      </c>
      <c r="C1062" s="211" t="s">
        <v>4203</v>
      </c>
      <c r="D1062" s="212">
        <v>9.24</v>
      </c>
      <c r="E1062" s="212">
        <v>1.7</v>
      </c>
      <c r="F1062" s="212" t="s">
        <v>2372</v>
      </c>
      <c r="G1062" s="209"/>
      <c r="I1062" s="209"/>
      <c r="J1062" s="209"/>
      <c r="K1062" s="209"/>
    </row>
    <row r="1063" spans="1:11">
      <c r="A1063" s="208"/>
      <c r="B1063" s="209" t="s">
        <v>3810</v>
      </c>
      <c r="C1063" s="211" t="s">
        <v>4208</v>
      </c>
      <c r="D1063" s="212">
        <v>9.1300000000000008</v>
      </c>
      <c r="E1063" s="212">
        <v>2.13</v>
      </c>
      <c r="F1063" s="212" t="s">
        <v>310</v>
      </c>
      <c r="G1063" s="209"/>
      <c r="H1063" s="215"/>
      <c r="I1063" s="209"/>
      <c r="J1063" s="209"/>
      <c r="K1063" s="209"/>
    </row>
    <row r="1064" spans="1:11">
      <c r="A1064" s="208"/>
      <c r="B1064" s="209" t="s">
        <v>3810</v>
      </c>
      <c r="C1064" s="211" t="s">
        <v>4212</v>
      </c>
      <c r="D1064" s="212">
        <v>12.18</v>
      </c>
      <c r="E1064" s="212">
        <v>2.5</v>
      </c>
      <c r="F1064" s="209" t="s">
        <v>321</v>
      </c>
      <c r="G1064" s="209"/>
      <c r="H1064" s="215"/>
      <c r="I1064" s="209"/>
      <c r="J1064" s="209"/>
      <c r="K1064" s="209"/>
    </row>
    <row r="1065" spans="1:11">
      <c r="A1065" s="208"/>
      <c r="B1065" s="209" t="s">
        <v>3810</v>
      </c>
      <c r="C1065" s="211" t="s">
        <v>4213</v>
      </c>
      <c r="D1065" s="212">
        <v>12.18</v>
      </c>
      <c r="E1065" s="212">
        <v>3</v>
      </c>
      <c r="F1065" s="209" t="s">
        <v>321</v>
      </c>
      <c r="G1065" s="209"/>
      <c r="I1065" s="209"/>
      <c r="J1065" s="209"/>
      <c r="K1065" s="209"/>
    </row>
    <row r="1066" spans="1:11">
      <c r="A1066" s="208"/>
      <c r="B1066" s="209" t="s">
        <v>3810</v>
      </c>
      <c r="C1066" s="211" t="s">
        <v>4214</v>
      </c>
      <c r="D1066" s="212">
        <v>9</v>
      </c>
      <c r="E1066" s="212">
        <v>2.08</v>
      </c>
      <c r="F1066" s="209" t="s">
        <v>311</v>
      </c>
      <c r="G1066" s="209"/>
      <c r="I1066" s="209"/>
      <c r="J1066" s="209"/>
      <c r="K1066" s="209"/>
    </row>
    <row r="1067" spans="1:11">
      <c r="A1067" s="208"/>
      <c r="B1067" s="209" t="s">
        <v>3810</v>
      </c>
      <c r="C1067" s="211" t="s">
        <v>4626</v>
      </c>
      <c r="D1067" s="209" t="s">
        <v>4627</v>
      </c>
      <c r="E1067" s="209" t="s">
        <v>1672</v>
      </c>
      <c r="F1067" s="209" t="s">
        <v>2083</v>
      </c>
      <c r="G1067" s="209"/>
      <c r="I1067" s="212"/>
      <c r="J1067" s="212"/>
      <c r="K1067" s="212"/>
    </row>
    <row r="1068" spans="1:11">
      <c r="A1068" s="208"/>
      <c r="B1068" s="209" t="s">
        <v>3810</v>
      </c>
      <c r="C1068" s="211" t="s">
        <v>4215</v>
      </c>
      <c r="D1068" s="209" t="s">
        <v>2044</v>
      </c>
      <c r="E1068" s="212">
        <v>1.87</v>
      </c>
      <c r="F1068" s="212" t="s">
        <v>2353</v>
      </c>
      <c r="G1068" s="209"/>
      <c r="I1068" s="209"/>
      <c r="J1068" s="209"/>
      <c r="K1068" s="209"/>
    </row>
    <row r="1069" spans="1:11">
      <c r="A1069" s="208"/>
      <c r="B1069" s="209" t="s">
        <v>3810</v>
      </c>
      <c r="C1069" s="211" t="s">
        <v>4216</v>
      </c>
      <c r="D1069" s="212">
        <v>8.5</v>
      </c>
      <c r="E1069" s="212">
        <v>1.62</v>
      </c>
      <c r="F1069" s="212" t="s">
        <v>3560</v>
      </c>
      <c r="G1069" s="209"/>
      <c r="I1069" s="209"/>
      <c r="J1069" s="209"/>
      <c r="K1069" s="209"/>
    </row>
    <row r="1070" spans="1:11">
      <c r="A1070" s="208"/>
      <c r="B1070" s="209" t="s">
        <v>3810</v>
      </c>
      <c r="C1070" s="211" t="s">
        <v>3354</v>
      </c>
      <c r="D1070" s="212">
        <v>9.91</v>
      </c>
      <c r="E1070" s="212">
        <v>1.73</v>
      </c>
      <c r="F1070" s="212" t="s">
        <v>3510</v>
      </c>
      <c r="G1070" s="209"/>
      <c r="I1070" s="209"/>
      <c r="J1070" s="209"/>
      <c r="K1070" s="209"/>
    </row>
    <row r="1071" spans="1:11">
      <c r="A1071" s="208"/>
      <c r="B1071" s="209" t="s">
        <v>3810</v>
      </c>
      <c r="C1071" s="211" t="s">
        <v>3357</v>
      </c>
      <c r="D1071" s="212">
        <v>13.07</v>
      </c>
      <c r="E1071" s="212">
        <v>2.8</v>
      </c>
      <c r="F1071" s="209" t="s">
        <v>2362</v>
      </c>
      <c r="G1071" s="209"/>
      <c r="I1071" s="209"/>
      <c r="J1071" s="209"/>
      <c r="K1071" s="209"/>
    </row>
    <row r="1072" spans="1:11">
      <c r="A1072" s="208"/>
      <c r="B1072" s="209" t="s">
        <v>3810</v>
      </c>
      <c r="C1072" s="211" t="s">
        <v>3361</v>
      </c>
      <c r="D1072" s="212">
        <v>15.78</v>
      </c>
      <c r="E1072" s="212">
        <v>3</v>
      </c>
      <c r="F1072" s="209" t="s">
        <v>2348</v>
      </c>
      <c r="G1072" s="212"/>
      <c r="I1072" s="209"/>
      <c r="J1072" s="209"/>
      <c r="K1072" s="209"/>
    </row>
    <row r="1073" spans="1:11">
      <c r="A1073" s="208"/>
      <c r="B1073" s="209" t="s">
        <v>3810</v>
      </c>
      <c r="C1073" s="211" t="s">
        <v>3372</v>
      </c>
      <c r="D1073" s="212">
        <v>6.75</v>
      </c>
      <c r="E1073" s="212">
        <v>1.5</v>
      </c>
      <c r="F1073" s="212" t="s">
        <v>327</v>
      </c>
      <c r="G1073" s="212"/>
      <c r="I1073" s="209"/>
      <c r="J1073" s="209"/>
      <c r="K1073" s="209"/>
    </row>
    <row r="1074" spans="1:11">
      <c r="A1074" s="208"/>
      <c r="B1074" s="209" t="s">
        <v>3810</v>
      </c>
      <c r="C1074" s="211" t="s">
        <v>3373</v>
      </c>
      <c r="D1074" s="212">
        <v>11.46</v>
      </c>
      <c r="E1074" s="212">
        <v>1.9</v>
      </c>
      <c r="F1074" s="209" t="s">
        <v>2347</v>
      </c>
      <c r="G1074" s="212"/>
      <c r="I1074" s="209"/>
      <c r="J1074" s="209"/>
      <c r="K1074" s="209"/>
    </row>
    <row r="1075" spans="1:11">
      <c r="A1075" s="208"/>
      <c r="B1075" s="209" t="s">
        <v>3810</v>
      </c>
      <c r="C1075" s="211" t="s">
        <v>3374</v>
      </c>
      <c r="D1075" s="212">
        <v>9.2200000000000006</v>
      </c>
      <c r="E1075" s="212">
        <v>1.75</v>
      </c>
      <c r="F1075" s="209" t="s">
        <v>311</v>
      </c>
      <c r="G1075" s="209"/>
      <c r="I1075" s="212"/>
      <c r="J1075" s="212"/>
      <c r="K1075" s="212"/>
    </row>
    <row r="1076" spans="1:11">
      <c r="A1076" s="209"/>
      <c r="B1076" s="209" t="s">
        <v>3810</v>
      </c>
      <c r="C1076" s="211" t="s">
        <v>3375</v>
      </c>
      <c r="D1076" s="212">
        <v>6.83</v>
      </c>
      <c r="E1076" s="212">
        <v>1.8</v>
      </c>
      <c r="F1076" s="209" t="s">
        <v>311</v>
      </c>
      <c r="G1076" s="209"/>
      <c r="I1076" s="212"/>
      <c r="J1076" s="212"/>
      <c r="K1076" s="212"/>
    </row>
    <row r="1077" spans="1:11">
      <c r="A1077" s="208"/>
      <c r="B1077" s="209" t="s">
        <v>3810</v>
      </c>
      <c r="C1077" s="211" t="s">
        <v>3376</v>
      </c>
      <c r="D1077" s="212">
        <v>14.82</v>
      </c>
      <c r="E1077" s="212">
        <v>2.39</v>
      </c>
      <c r="F1077" s="212" t="s">
        <v>310</v>
      </c>
      <c r="G1077" s="209"/>
      <c r="H1077" s="215"/>
      <c r="I1077" s="209"/>
      <c r="J1077" s="209"/>
      <c r="K1077" s="209"/>
    </row>
    <row r="1078" spans="1:11">
      <c r="A1078" s="208"/>
      <c r="B1078" s="209" t="s">
        <v>3810</v>
      </c>
      <c r="C1078" s="211" t="s">
        <v>3377</v>
      </c>
      <c r="D1078" s="212">
        <v>9.14</v>
      </c>
      <c r="E1078" s="212">
        <v>2.46</v>
      </c>
      <c r="F1078" s="212" t="s">
        <v>2362</v>
      </c>
      <c r="G1078" s="209"/>
      <c r="I1078" s="209"/>
      <c r="J1078" s="209"/>
      <c r="K1078" s="209"/>
    </row>
    <row r="1079" spans="1:11">
      <c r="A1079" s="208" t="s">
        <v>2342</v>
      </c>
      <c r="B1079" s="209" t="s">
        <v>3810</v>
      </c>
      <c r="C1079" s="211" t="s">
        <v>590</v>
      </c>
      <c r="D1079" s="212">
        <v>11.23</v>
      </c>
      <c r="E1079" s="212">
        <v>2</v>
      </c>
      <c r="F1079" s="209" t="s">
        <v>2362</v>
      </c>
      <c r="G1079" s="209"/>
      <c r="I1079" s="209"/>
      <c r="J1079" s="209"/>
      <c r="K1079" s="209"/>
    </row>
    <row r="1080" spans="1:11">
      <c r="A1080" s="208"/>
      <c r="B1080" s="209" t="s">
        <v>3810</v>
      </c>
      <c r="C1080" s="211" t="s">
        <v>3050</v>
      </c>
      <c r="D1080" s="212">
        <v>16.79</v>
      </c>
      <c r="E1080" s="212">
        <v>3.9</v>
      </c>
      <c r="F1080" s="209" t="s">
        <v>316</v>
      </c>
      <c r="G1080" s="209"/>
      <c r="I1080" s="209"/>
      <c r="J1080" s="209"/>
      <c r="K1080" s="209"/>
    </row>
    <row r="1081" spans="1:11">
      <c r="A1081" s="208"/>
      <c r="B1081" s="209" t="s">
        <v>3810</v>
      </c>
      <c r="C1081" s="211" t="s">
        <v>3378</v>
      </c>
      <c r="D1081" s="212">
        <v>12.82</v>
      </c>
      <c r="E1081" s="212">
        <v>1.9</v>
      </c>
      <c r="F1081" s="212" t="s">
        <v>308</v>
      </c>
      <c r="G1081" s="209"/>
      <c r="I1081" s="212"/>
      <c r="J1081" s="212"/>
      <c r="K1081" s="212"/>
    </row>
    <row r="1082" spans="1:11">
      <c r="A1082" s="208"/>
      <c r="B1082" s="209" t="s">
        <v>3810</v>
      </c>
      <c r="C1082" s="211" t="s">
        <v>3379</v>
      </c>
      <c r="D1082" s="212">
        <v>7.62</v>
      </c>
      <c r="E1082" s="212">
        <v>1.52</v>
      </c>
      <c r="F1082" s="212" t="s">
        <v>327</v>
      </c>
      <c r="G1082" s="209"/>
      <c r="I1082" s="209"/>
      <c r="J1082" s="209"/>
      <c r="K1082" s="209"/>
    </row>
    <row r="1083" spans="1:11">
      <c r="A1083" s="208"/>
      <c r="B1083" s="209" t="s">
        <v>3810</v>
      </c>
      <c r="C1083" s="211" t="s">
        <v>3380</v>
      </c>
      <c r="D1083" s="212">
        <v>15.05</v>
      </c>
      <c r="E1083" s="209" t="s">
        <v>305</v>
      </c>
      <c r="F1083" s="212" t="s">
        <v>321</v>
      </c>
      <c r="G1083" s="212"/>
      <c r="I1083" s="212"/>
      <c r="J1083" s="212"/>
      <c r="K1083" s="212"/>
    </row>
    <row r="1084" spans="1:11">
      <c r="A1084" s="208"/>
      <c r="B1084" s="209" t="s">
        <v>3810</v>
      </c>
      <c r="C1084" s="211" t="s">
        <v>3383</v>
      </c>
      <c r="D1084" s="209" t="s">
        <v>1219</v>
      </c>
      <c r="E1084" s="209">
        <v>1.72</v>
      </c>
      <c r="F1084" s="209" t="s">
        <v>3539</v>
      </c>
      <c r="G1084" s="212"/>
      <c r="I1084" s="212"/>
      <c r="J1084" s="212"/>
      <c r="K1084" s="212"/>
    </row>
    <row r="1085" spans="1:11">
      <c r="A1085" s="208" t="s">
        <v>2342</v>
      </c>
      <c r="B1085" s="209" t="s">
        <v>3810</v>
      </c>
      <c r="C1085" s="211" t="s">
        <v>3384</v>
      </c>
      <c r="D1085" s="209" t="s">
        <v>1219</v>
      </c>
      <c r="E1085" s="209">
        <v>1.99</v>
      </c>
      <c r="F1085" s="209" t="s">
        <v>3539</v>
      </c>
      <c r="G1085" s="209"/>
      <c r="H1085" s="215"/>
      <c r="I1085" s="209"/>
      <c r="J1085" s="209"/>
      <c r="K1085" s="209"/>
    </row>
    <row r="1086" spans="1:11">
      <c r="A1086" s="208"/>
      <c r="B1086" s="209" t="s">
        <v>3810</v>
      </c>
      <c r="C1086" s="211" t="s">
        <v>3397</v>
      </c>
      <c r="D1086" s="212">
        <v>11.28</v>
      </c>
      <c r="E1086" s="212">
        <v>2.78</v>
      </c>
      <c r="F1086" s="209" t="s">
        <v>316</v>
      </c>
      <c r="G1086" s="209"/>
      <c r="H1086" s="215"/>
      <c r="I1086" s="209"/>
      <c r="J1086" s="209"/>
      <c r="K1086" s="209"/>
    </row>
    <row r="1087" spans="1:11">
      <c r="A1087" s="208"/>
      <c r="B1087" s="209" t="s">
        <v>3810</v>
      </c>
      <c r="C1087" s="211" t="s">
        <v>427</v>
      </c>
      <c r="D1087" s="212">
        <v>11.99</v>
      </c>
      <c r="E1087" s="212">
        <v>2.5</v>
      </c>
      <c r="F1087" s="209" t="s">
        <v>321</v>
      </c>
      <c r="G1087" s="212"/>
      <c r="I1087" s="212"/>
      <c r="J1087" s="212"/>
      <c r="K1087" s="212"/>
    </row>
    <row r="1088" spans="1:11">
      <c r="A1088" s="208"/>
      <c r="B1088" s="209" t="s">
        <v>3810</v>
      </c>
      <c r="C1088" s="211" t="s">
        <v>426</v>
      </c>
      <c r="D1088" s="212">
        <v>11.99</v>
      </c>
      <c r="E1088" s="212">
        <v>2.7</v>
      </c>
      <c r="F1088" s="209" t="s">
        <v>321</v>
      </c>
      <c r="G1088" s="209"/>
      <c r="I1088" s="209"/>
      <c r="J1088" s="209"/>
      <c r="K1088" s="209"/>
    </row>
    <row r="1089" spans="1:11">
      <c r="A1089" s="208"/>
      <c r="B1089" s="209" t="s">
        <v>3810</v>
      </c>
      <c r="C1089" s="211" t="s">
        <v>2804</v>
      </c>
      <c r="D1089" s="209" t="s">
        <v>1222</v>
      </c>
      <c r="E1089" s="212">
        <v>1.98</v>
      </c>
      <c r="F1089" s="212" t="s">
        <v>2359</v>
      </c>
      <c r="G1089" s="209"/>
      <c r="I1089" s="209"/>
      <c r="J1089" s="209"/>
      <c r="K1089" s="209"/>
    </row>
    <row r="1090" spans="1:11">
      <c r="A1090" s="208"/>
      <c r="B1090" s="209" t="s">
        <v>3810</v>
      </c>
      <c r="C1090" s="211" t="s">
        <v>2805</v>
      </c>
      <c r="D1090" s="212">
        <v>8.6199999999999992</v>
      </c>
      <c r="E1090" s="212">
        <v>1.49</v>
      </c>
      <c r="F1090" s="212" t="s">
        <v>3510</v>
      </c>
      <c r="G1090" s="209"/>
      <c r="I1090" s="209"/>
      <c r="J1090" s="209"/>
      <c r="K1090" s="209"/>
    </row>
    <row r="1091" spans="1:11">
      <c r="A1091" s="208"/>
      <c r="B1091" s="209" t="s">
        <v>3810</v>
      </c>
      <c r="C1091" s="211" t="s">
        <v>2806</v>
      </c>
      <c r="D1091" s="209" t="s">
        <v>2042</v>
      </c>
      <c r="E1091" s="212">
        <v>1.85</v>
      </c>
      <c r="F1091" s="212" t="s">
        <v>2372</v>
      </c>
      <c r="G1091" s="209"/>
      <c r="H1091" s="215"/>
      <c r="I1091" s="209"/>
      <c r="J1091" s="209"/>
      <c r="K1091" s="209"/>
    </row>
    <row r="1092" spans="1:11">
      <c r="A1092" s="208"/>
      <c r="B1092" s="209" t="s">
        <v>3810</v>
      </c>
      <c r="C1092" s="211" t="s">
        <v>2807</v>
      </c>
      <c r="D1092" s="209" t="s">
        <v>2040</v>
      </c>
      <c r="E1092" s="212">
        <v>1.78</v>
      </c>
      <c r="F1092" s="212" t="s">
        <v>2350</v>
      </c>
      <c r="G1092" s="212"/>
      <c r="I1092" s="209"/>
      <c r="J1092" s="209"/>
      <c r="K1092" s="209"/>
    </row>
    <row r="1093" spans="1:11">
      <c r="A1093" s="208"/>
      <c r="B1093" s="209" t="s">
        <v>3810</v>
      </c>
      <c r="C1093" s="211" t="s">
        <v>2808</v>
      </c>
      <c r="D1093" s="212">
        <v>7.5</v>
      </c>
      <c r="E1093" s="212">
        <v>1.22</v>
      </c>
      <c r="F1093" s="209" t="s">
        <v>324</v>
      </c>
      <c r="G1093" s="212"/>
      <c r="H1093" s="215"/>
      <c r="I1093" s="209"/>
      <c r="J1093" s="209"/>
      <c r="K1093" s="209"/>
    </row>
    <row r="1094" spans="1:11">
      <c r="A1094" s="208"/>
      <c r="B1094" s="209" t="s">
        <v>3810</v>
      </c>
      <c r="C1094" s="211" t="s">
        <v>2826</v>
      </c>
      <c r="D1094" s="212">
        <v>7.32</v>
      </c>
      <c r="E1094" s="212">
        <v>1.24</v>
      </c>
      <c r="F1094" s="212" t="s">
        <v>3530</v>
      </c>
      <c r="G1094" s="209"/>
      <c r="H1094" s="215"/>
      <c r="I1094" s="209"/>
      <c r="J1094" s="209"/>
      <c r="K1094" s="209"/>
    </row>
    <row r="1095" spans="1:11">
      <c r="A1095" s="208"/>
      <c r="B1095" s="209" t="s">
        <v>3810</v>
      </c>
      <c r="C1095" s="211" t="s">
        <v>2827</v>
      </c>
      <c r="D1095" s="212">
        <v>11.18</v>
      </c>
      <c r="E1095" s="212">
        <v>1.48</v>
      </c>
      <c r="F1095" s="212" t="s">
        <v>308</v>
      </c>
      <c r="G1095" s="209"/>
      <c r="I1095" s="209"/>
      <c r="J1095" s="209"/>
      <c r="K1095" s="209"/>
    </row>
    <row r="1096" spans="1:11">
      <c r="A1096" s="208"/>
      <c r="B1096" s="209" t="s">
        <v>3810</v>
      </c>
      <c r="C1096" s="211" t="s">
        <v>2495</v>
      </c>
      <c r="D1096" s="209" t="s">
        <v>2037</v>
      </c>
      <c r="E1096" s="212">
        <v>1.82</v>
      </c>
      <c r="F1096" s="209" t="s">
        <v>3560</v>
      </c>
      <c r="G1096" s="209"/>
      <c r="I1096" s="209"/>
      <c r="J1096" s="209"/>
      <c r="K1096" s="209"/>
    </row>
    <row r="1097" spans="1:11">
      <c r="A1097" s="208"/>
      <c r="B1097" s="209" t="s">
        <v>3810</v>
      </c>
      <c r="C1097" s="211" t="s">
        <v>2496</v>
      </c>
      <c r="D1097" s="212">
        <v>8.9499999999999993</v>
      </c>
      <c r="E1097" s="212">
        <v>1.64</v>
      </c>
      <c r="F1097" s="212" t="s">
        <v>2355</v>
      </c>
      <c r="G1097" s="209"/>
      <c r="H1097" s="215"/>
      <c r="I1097" s="209"/>
      <c r="J1097" s="209"/>
      <c r="K1097" s="209"/>
    </row>
    <row r="1098" spans="1:11">
      <c r="A1098" s="208"/>
      <c r="B1098" s="209" t="s">
        <v>3810</v>
      </c>
      <c r="C1098" s="211" t="s">
        <v>2497</v>
      </c>
      <c r="D1098" s="212">
        <v>9</v>
      </c>
      <c r="E1098" s="212">
        <v>1.71</v>
      </c>
      <c r="F1098" s="212" t="s">
        <v>329</v>
      </c>
      <c r="G1098" s="209"/>
      <c r="I1098" s="209"/>
      <c r="J1098" s="209"/>
      <c r="K1098" s="209"/>
    </row>
    <row r="1099" spans="1:11">
      <c r="A1099" s="208"/>
      <c r="B1099" s="209" t="s">
        <v>3810</v>
      </c>
      <c r="C1099" s="211" t="s">
        <v>2498</v>
      </c>
      <c r="D1099" s="212">
        <v>14.55</v>
      </c>
      <c r="E1099" s="212">
        <v>2.97</v>
      </c>
      <c r="F1099" s="209" t="s">
        <v>2348</v>
      </c>
      <c r="G1099" s="209"/>
      <c r="I1099" s="209"/>
      <c r="J1099" s="209"/>
      <c r="K1099" s="209"/>
    </row>
    <row r="1100" spans="1:11">
      <c r="A1100" s="208"/>
      <c r="B1100" s="209" t="s">
        <v>3810</v>
      </c>
      <c r="C1100" s="211" t="s">
        <v>2499</v>
      </c>
      <c r="D1100" s="212">
        <v>11.8</v>
      </c>
      <c r="E1100" s="212">
        <v>1.68</v>
      </c>
      <c r="F1100" s="212" t="s">
        <v>2500</v>
      </c>
      <c r="G1100" s="209"/>
      <c r="I1100" s="212"/>
      <c r="J1100" s="212"/>
      <c r="K1100" s="212"/>
    </row>
    <row r="1101" spans="1:11">
      <c r="A1101" s="208"/>
      <c r="B1101" s="209" t="s">
        <v>3810</v>
      </c>
      <c r="C1101" s="211" t="s">
        <v>2501</v>
      </c>
      <c r="D1101" s="212">
        <v>10.67</v>
      </c>
      <c r="E1101" s="212">
        <v>1.81</v>
      </c>
      <c r="F1101" s="212" t="s">
        <v>321</v>
      </c>
      <c r="G1101" s="209"/>
      <c r="I1101" s="212"/>
      <c r="J1101" s="212"/>
      <c r="K1101" s="212"/>
    </row>
    <row r="1102" spans="1:11">
      <c r="A1102" s="208"/>
      <c r="B1102" s="209" t="s">
        <v>3810</v>
      </c>
      <c r="C1102" s="211" t="s">
        <v>2502</v>
      </c>
      <c r="D1102" s="212">
        <v>18.28</v>
      </c>
      <c r="E1102" s="212">
        <v>2.59</v>
      </c>
      <c r="F1102" s="212" t="s">
        <v>324</v>
      </c>
      <c r="G1102" s="209"/>
      <c r="I1102" s="209"/>
      <c r="J1102" s="209"/>
      <c r="K1102" s="209"/>
    </row>
    <row r="1103" spans="1:11">
      <c r="A1103" s="208" t="s">
        <v>2342</v>
      </c>
      <c r="B1103" s="209" t="s">
        <v>3810</v>
      </c>
      <c r="C1103" s="211" t="s">
        <v>2503</v>
      </c>
      <c r="D1103" s="209" t="s">
        <v>1213</v>
      </c>
      <c r="E1103" s="212">
        <v>2.56</v>
      </c>
      <c r="F1103" s="212" t="s">
        <v>308</v>
      </c>
      <c r="G1103" s="209"/>
      <c r="I1103" s="209"/>
      <c r="J1103" s="209"/>
      <c r="K1103" s="209"/>
    </row>
    <row r="1104" spans="1:11">
      <c r="A1104" s="208"/>
      <c r="B1104" s="209" t="s">
        <v>3810</v>
      </c>
      <c r="C1104" s="211" t="s">
        <v>2510</v>
      </c>
      <c r="D1104" s="212">
        <v>9.39</v>
      </c>
      <c r="E1104" s="212">
        <v>1.69</v>
      </c>
      <c r="F1104" s="212" t="s">
        <v>327</v>
      </c>
      <c r="G1104" s="209"/>
      <c r="I1104" s="209"/>
      <c r="J1104" s="209"/>
      <c r="K1104" s="209"/>
    </row>
    <row r="1105" spans="1:11">
      <c r="A1105" s="208"/>
      <c r="B1105" s="209" t="s">
        <v>3810</v>
      </c>
      <c r="C1105" s="211" t="s">
        <v>2531</v>
      </c>
      <c r="D1105" s="212">
        <v>9.4499999999999993</v>
      </c>
      <c r="E1105" s="212">
        <v>1.84</v>
      </c>
      <c r="F1105" s="212" t="s">
        <v>3527</v>
      </c>
      <c r="G1105" s="209"/>
      <c r="I1105" s="209"/>
      <c r="J1105" s="209"/>
      <c r="K1105" s="209"/>
    </row>
    <row r="1106" spans="1:11">
      <c r="A1106" s="208"/>
      <c r="B1106" s="209" t="s">
        <v>3810</v>
      </c>
      <c r="C1106" s="211" t="s">
        <v>2532</v>
      </c>
      <c r="D1106" s="212">
        <v>9.25</v>
      </c>
      <c r="E1106" s="212">
        <v>1.62</v>
      </c>
      <c r="F1106" s="212" t="s">
        <v>327</v>
      </c>
      <c r="G1106" s="212"/>
      <c r="I1106" s="209"/>
      <c r="J1106" s="209"/>
      <c r="K1106" s="209"/>
    </row>
    <row r="1107" spans="1:11">
      <c r="A1107" s="208"/>
      <c r="B1107" s="209" t="s">
        <v>3810</v>
      </c>
      <c r="C1107" s="211" t="s">
        <v>2533</v>
      </c>
      <c r="D1107" s="212">
        <v>8.68</v>
      </c>
      <c r="E1107" s="212">
        <v>1.79</v>
      </c>
      <c r="F1107" s="212" t="s">
        <v>306</v>
      </c>
      <c r="G1107" s="209"/>
      <c r="I1107" s="209"/>
      <c r="J1107" s="209"/>
      <c r="K1107" s="209"/>
    </row>
    <row r="1108" spans="1:11">
      <c r="A1108" s="208"/>
      <c r="B1108" s="209" t="s">
        <v>3810</v>
      </c>
      <c r="C1108" s="211" t="s">
        <v>2534</v>
      </c>
      <c r="D1108" s="212">
        <v>8.5299999999999994</v>
      </c>
      <c r="E1108" s="212">
        <v>1.42</v>
      </c>
      <c r="F1108" s="212" t="s">
        <v>2535</v>
      </c>
      <c r="G1108" s="209"/>
      <c r="I1108" s="212"/>
      <c r="J1108" s="212"/>
      <c r="K1108" s="212"/>
    </row>
    <row r="1109" spans="1:11">
      <c r="A1109" s="208"/>
      <c r="B1109" s="209" t="s">
        <v>3810</v>
      </c>
      <c r="C1109" s="211" t="s">
        <v>2536</v>
      </c>
      <c r="D1109" s="212">
        <v>14.98</v>
      </c>
      <c r="E1109" s="212">
        <v>2.0699999999999998</v>
      </c>
      <c r="F1109" s="212" t="s">
        <v>2344</v>
      </c>
      <c r="G1109" s="209"/>
      <c r="I1109" s="209"/>
      <c r="J1109" s="209"/>
      <c r="K1109" s="209"/>
    </row>
    <row r="1110" spans="1:11">
      <c r="A1110" s="208"/>
      <c r="B1110" s="209" t="s">
        <v>3810</v>
      </c>
      <c r="C1110" s="211" t="s">
        <v>2539</v>
      </c>
      <c r="D1110" s="212">
        <v>10.82</v>
      </c>
      <c r="E1110" s="212">
        <v>1.83</v>
      </c>
      <c r="F1110" s="212" t="s">
        <v>3530</v>
      </c>
      <c r="G1110" s="209"/>
      <c r="H1110" s="215"/>
      <c r="I1110" s="209"/>
      <c r="J1110" s="209"/>
      <c r="K1110" s="209"/>
    </row>
    <row r="1111" spans="1:11">
      <c r="A1111" s="208"/>
      <c r="B1111" s="209" t="s">
        <v>3810</v>
      </c>
      <c r="C1111" s="211" t="s">
        <v>4629</v>
      </c>
      <c r="D1111" s="209" t="s">
        <v>4630</v>
      </c>
      <c r="E1111" s="209" t="s">
        <v>406</v>
      </c>
      <c r="F1111" s="209" t="s">
        <v>2083</v>
      </c>
      <c r="G1111" s="209"/>
      <c r="H1111" s="215"/>
      <c r="I1111" s="209"/>
      <c r="J1111" s="209"/>
      <c r="K1111" s="209"/>
    </row>
    <row r="1112" spans="1:11">
      <c r="A1112" s="208"/>
      <c r="B1112" s="209" t="s">
        <v>3810</v>
      </c>
      <c r="C1112" s="211" t="s">
        <v>2575</v>
      </c>
      <c r="D1112" s="212">
        <v>10.98</v>
      </c>
      <c r="E1112" s="212">
        <v>1.68</v>
      </c>
      <c r="F1112" s="212" t="s">
        <v>324</v>
      </c>
      <c r="G1112" s="209"/>
      <c r="I1112" s="209"/>
      <c r="J1112" s="209"/>
      <c r="K1112" s="209"/>
    </row>
    <row r="1113" spans="1:11">
      <c r="A1113" s="208"/>
      <c r="B1113" s="209" t="s">
        <v>3810</v>
      </c>
      <c r="C1113" s="211" t="s">
        <v>2576</v>
      </c>
      <c r="D1113" s="212">
        <v>9.9499999999999993</v>
      </c>
      <c r="E1113" s="212">
        <v>1.77</v>
      </c>
      <c r="F1113" s="212" t="s">
        <v>327</v>
      </c>
      <c r="G1113" s="209"/>
      <c r="I1113" s="209"/>
      <c r="J1113" s="209"/>
      <c r="K1113" s="209"/>
    </row>
    <row r="1114" spans="1:11">
      <c r="A1114" s="208"/>
      <c r="B1114" s="209" t="s">
        <v>3810</v>
      </c>
      <c r="C1114" s="211" t="s">
        <v>2577</v>
      </c>
      <c r="D1114" s="212">
        <v>11.47</v>
      </c>
      <c r="E1114" s="212">
        <v>2.1</v>
      </c>
      <c r="F1114" s="209" t="s">
        <v>310</v>
      </c>
      <c r="G1114" s="212"/>
      <c r="I1114" s="209"/>
      <c r="J1114" s="209"/>
      <c r="K1114" s="209"/>
    </row>
    <row r="1115" spans="1:11">
      <c r="A1115" s="208"/>
      <c r="B1115" s="209" t="s">
        <v>3810</v>
      </c>
      <c r="C1115" s="211" t="s">
        <v>782</v>
      </c>
      <c r="D1115" s="212">
        <v>8.35</v>
      </c>
      <c r="E1115" s="212">
        <v>1.7</v>
      </c>
      <c r="F1115" s="209" t="s">
        <v>2362</v>
      </c>
      <c r="G1115" s="212"/>
      <c r="I1115" s="209"/>
      <c r="J1115" s="209"/>
      <c r="K1115" s="209"/>
    </row>
    <row r="1116" spans="1:11">
      <c r="A1116" s="208"/>
      <c r="B1116" s="209" t="s">
        <v>3810</v>
      </c>
      <c r="C1116" s="211" t="s">
        <v>2591</v>
      </c>
      <c r="D1116" s="209" t="s">
        <v>1239</v>
      </c>
      <c r="E1116" s="212">
        <v>1.78</v>
      </c>
      <c r="F1116" s="212" t="s">
        <v>2353</v>
      </c>
      <c r="G1116" s="209"/>
      <c r="I1116" s="209"/>
      <c r="J1116" s="209"/>
      <c r="K1116" s="209"/>
    </row>
    <row r="1117" spans="1:11">
      <c r="A1117" s="208"/>
      <c r="B1117" s="209" t="s">
        <v>3810</v>
      </c>
      <c r="C1117" s="211" t="s">
        <v>2592</v>
      </c>
      <c r="D1117" s="212">
        <v>8.51</v>
      </c>
      <c r="E1117" s="209" t="s">
        <v>305</v>
      </c>
      <c r="F1117" s="212" t="s">
        <v>2353</v>
      </c>
      <c r="G1117" s="209"/>
      <c r="I1117" s="209"/>
      <c r="J1117" s="209"/>
      <c r="K1117" s="209"/>
    </row>
    <row r="1118" spans="1:11">
      <c r="A1118" s="208"/>
      <c r="B1118" s="209" t="s">
        <v>3810</v>
      </c>
      <c r="C1118" s="211" t="s">
        <v>2593</v>
      </c>
      <c r="D1118" s="212">
        <v>7.22</v>
      </c>
      <c r="E1118" s="212">
        <v>1.67</v>
      </c>
      <c r="F1118" s="212" t="s">
        <v>329</v>
      </c>
      <c r="G1118" s="209"/>
      <c r="H1118" s="215"/>
      <c r="I1118" s="209"/>
      <c r="J1118" s="209"/>
      <c r="K1118" s="209"/>
    </row>
    <row r="1119" spans="1:11">
      <c r="A1119" s="208"/>
      <c r="B1119" s="209" t="s">
        <v>3810</v>
      </c>
      <c r="C1119" s="211" t="s">
        <v>2607</v>
      </c>
      <c r="D1119" s="212">
        <v>7.86</v>
      </c>
      <c r="E1119" s="212">
        <v>2.4</v>
      </c>
      <c r="F1119" s="212" t="s">
        <v>2345</v>
      </c>
      <c r="G1119" s="209"/>
      <c r="I1119" s="212"/>
      <c r="J1119" s="212"/>
      <c r="K1119" s="212"/>
    </row>
    <row r="1120" spans="1:11">
      <c r="A1120" s="208"/>
      <c r="B1120" s="209" t="s">
        <v>3810</v>
      </c>
      <c r="C1120" s="211" t="s">
        <v>2608</v>
      </c>
      <c r="D1120" s="209" t="s">
        <v>2041</v>
      </c>
      <c r="E1120" s="212">
        <v>1.7</v>
      </c>
      <c r="F1120" s="209" t="s">
        <v>332</v>
      </c>
      <c r="G1120" s="212"/>
      <c r="I1120" s="212"/>
      <c r="J1120" s="212"/>
      <c r="K1120" s="212"/>
    </row>
    <row r="1121" spans="1:11">
      <c r="A1121" s="208"/>
      <c r="B1121" s="209" t="s">
        <v>3810</v>
      </c>
      <c r="C1121" s="211" t="s">
        <v>783</v>
      </c>
      <c r="D1121" s="212">
        <v>11.6</v>
      </c>
      <c r="E1121" s="212">
        <v>2.46</v>
      </c>
      <c r="F1121" s="212" t="s">
        <v>2344</v>
      </c>
      <c r="G1121" s="209"/>
      <c r="I1121" s="209"/>
      <c r="J1121" s="209"/>
      <c r="K1121" s="209"/>
    </row>
    <row r="1122" spans="1:11">
      <c r="A1122" s="208"/>
      <c r="B1122" s="209" t="s">
        <v>3810</v>
      </c>
      <c r="C1122" s="211" t="s">
        <v>2611</v>
      </c>
      <c r="D1122" s="212">
        <v>11.31</v>
      </c>
      <c r="E1122" s="212">
        <v>1.8</v>
      </c>
      <c r="F1122" s="212" t="s">
        <v>2514</v>
      </c>
      <c r="G1122" s="212"/>
      <c r="I1122" s="209"/>
      <c r="J1122" s="209"/>
      <c r="K1122" s="209"/>
    </row>
    <row r="1123" spans="1:11">
      <c r="A1123" s="208"/>
      <c r="B1123" s="209" t="s">
        <v>3810</v>
      </c>
      <c r="C1123" s="211" t="s">
        <v>2614</v>
      </c>
      <c r="D1123" s="212">
        <v>7.61</v>
      </c>
      <c r="E1123" s="212">
        <v>1.68</v>
      </c>
      <c r="F1123" s="212" t="s">
        <v>319</v>
      </c>
      <c r="G1123" s="212"/>
      <c r="I1123" s="209"/>
      <c r="J1123" s="209"/>
      <c r="K1123" s="209"/>
    </row>
    <row r="1124" spans="1:11">
      <c r="A1124" s="208" t="s">
        <v>2342</v>
      </c>
      <c r="B1124" s="209" t="s">
        <v>3810</v>
      </c>
      <c r="C1124" s="211" t="s">
        <v>2617</v>
      </c>
      <c r="D1124" s="209" t="s">
        <v>1241</v>
      </c>
      <c r="E1124" s="212">
        <v>1.57</v>
      </c>
      <c r="F1124" s="212" t="s">
        <v>2355</v>
      </c>
      <c r="G1124" s="209"/>
      <c r="I1124" s="209"/>
      <c r="J1124" s="209"/>
      <c r="K1124" s="209"/>
    </row>
    <row r="1125" spans="1:11">
      <c r="A1125" s="208" t="s">
        <v>2342</v>
      </c>
      <c r="B1125" s="209" t="s">
        <v>3810</v>
      </c>
      <c r="C1125" s="211" t="s">
        <v>2618</v>
      </c>
      <c r="D1125" s="212">
        <v>9.1</v>
      </c>
      <c r="E1125" s="212">
        <v>2</v>
      </c>
      <c r="F1125" s="209" t="s">
        <v>2345</v>
      </c>
      <c r="G1125" s="209"/>
      <c r="I1125" s="212"/>
      <c r="J1125" s="212"/>
      <c r="K1125" s="212"/>
    </row>
    <row r="1126" spans="1:11">
      <c r="A1126" s="208"/>
      <c r="B1126" s="209" t="s">
        <v>3810</v>
      </c>
      <c r="C1126" s="211" t="s">
        <v>2619</v>
      </c>
      <c r="D1126" s="209" t="s">
        <v>1242</v>
      </c>
      <c r="E1126" s="212">
        <v>1.52</v>
      </c>
      <c r="F1126" s="212" t="s">
        <v>2357</v>
      </c>
      <c r="G1126" s="212"/>
      <c r="I1126" s="209"/>
      <c r="J1126" s="209"/>
      <c r="K1126" s="209"/>
    </row>
    <row r="1127" spans="1:11">
      <c r="A1127" s="208"/>
      <c r="B1127" s="209" t="s">
        <v>3810</v>
      </c>
      <c r="C1127" s="211" t="s">
        <v>2620</v>
      </c>
      <c r="D1127" s="209" t="s">
        <v>314</v>
      </c>
      <c r="E1127" s="212">
        <v>2.2000000000000002</v>
      </c>
      <c r="F1127" s="209" t="s">
        <v>2362</v>
      </c>
      <c r="G1127" s="209"/>
      <c r="I1127" s="212"/>
      <c r="J1127" s="212"/>
      <c r="K1127" s="212"/>
    </row>
    <row r="1128" spans="1:11">
      <c r="A1128" s="208"/>
      <c r="B1128" s="209" t="s">
        <v>3810</v>
      </c>
      <c r="C1128" s="211" t="s">
        <v>2621</v>
      </c>
      <c r="D1128" s="212">
        <v>8</v>
      </c>
      <c r="E1128" s="212">
        <v>1.93</v>
      </c>
      <c r="F1128" s="212" t="s">
        <v>2359</v>
      </c>
      <c r="G1128" s="209"/>
      <c r="I1128" s="212"/>
      <c r="J1128" s="212"/>
      <c r="K1128" s="212"/>
    </row>
    <row r="1129" spans="1:11">
      <c r="A1129" s="208"/>
      <c r="B1129" s="209" t="s">
        <v>3810</v>
      </c>
      <c r="C1129" s="211" t="s">
        <v>2622</v>
      </c>
      <c r="D1129" s="212">
        <v>10.64</v>
      </c>
      <c r="E1129" s="212">
        <v>1.45</v>
      </c>
      <c r="F1129" s="212" t="s">
        <v>313</v>
      </c>
      <c r="G1129" s="209"/>
      <c r="H1129" s="215"/>
      <c r="I1129" s="212"/>
      <c r="J1129" s="212"/>
      <c r="K1129" s="212"/>
    </row>
    <row r="1130" spans="1:11">
      <c r="A1130" s="208"/>
      <c r="B1130" s="209" t="s">
        <v>3810</v>
      </c>
      <c r="C1130" s="211" t="s">
        <v>2623</v>
      </c>
      <c r="D1130" s="212">
        <v>12.33</v>
      </c>
      <c r="E1130" s="212">
        <v>2.06</v>
      </c>
      <c r="F1130" s="212" t="s">
        <v>2374</v>
      </c>
      <c r="G1130" s="209"/>
      <c r="H1130" s="215"/>
      <c r="I1130" s="212"/>
      <c r="J1130" s="212"/>
      <c r="K1130" s="212"/>
    </row>
    <row r="1131" spans="1:11">
      <c r="A1131" s="208"/>
      <c r="B1131" s="209" t="s">
        <v>3810</v>
      </c>
      <c r="C1131" s="211" t="s">
        <v>1782</v>
      </c>
      <c r="D1131" s="212">
        <v>11.38</v>
      </c>
      <c r="E1131" s="212">
        <v>1.86</v>
      </c>
      <c r="F1131" s="212" t="s">
        <v>2366</v>
      </c>
      <c r="G1131" s="209"/>
      <c r="I1131" s="209"/>
      <c r="J1131" s="209"/>
      <c r="K1131" s="209"/>
    </row>
    <row r="1132" spans="1:11">
      <c r="A1132" s="208"/>
      <c r="B1132" s="209" t="s">
        <v>3810</v>
      </c>
      <c r="C1132" s="211" t="s">
        <v>1783</v>
      </c>
      <c r="D1132" s="212">
        <v>10.99</v>
      </c>
      <c r="E1132" s="212">
        <v>2</v>
      </c>
      <c r="F1132" s="212" t="s">
        <v>2372</v>
      </c>
      <c r="G1132" s="209"/>
      <c r="I1132" s="209"/>
      <c r="J1132" s="209"/>
      <c r="K1132" s="209"/>
    </row>
    <row r="1133" spans="1:11">
      <c r="A1133" s="208"/>
      <c r="B1133" s="209" t="s">
        <v>3810</v>
      </c>
      <c r="C1133" s="211" t="s">
        <v>1796</v>
      </c>
      <c r="D1133" s="212">
        <v>12.4</v>
      </c>
      <c r="E1133" s="212">
        <v>2.48</v>
      </c>
      <c r="F1133" s="209" t="s">
        <v>310</v>
      </c>
      <c r="G1133" s="209"/>
      <c r="I1133" s="209"/>
      <c r="J1133" s="209"/>
      <c r="K1133" s="209"/>
    </row>
    <row r="1134" spans="1:11">
      <c r="A1134" s="208"/>
      <c r="B1134" s="209" t="s">
        <v>3810</v>
      </c>
      <c r="C1134" s="211" t="s">
        <v>1797</v>
      </c>
      <c r="D1134" s="212">
        <v>14.03</v>
      </c>
      <c r="E1134" s="212">
        <v>2.89</v>
      </c>
      <c r="F1134" s="209" t="s">
        <v>2362</v>
      </c>
      <c r="G1134" s="209"/>
      <c r="I1134" s="209"/>
      <c r="J1134" s="209"/>
      <c r="K1134" s="209"/>
    </row>
    <row r="1135" spans="1:11">
      <c r="A1135" s="208"/>
      <c r="B1135" s="209" t="s">
        <v>3810</v>
      </c>
      <c r="C1135" s="211" t="s">
        <v>1798</v>
      </c>
      <c r="D1135" s="212">
        <v>9.85</v>
      </c>
      <c r="E1135" s="209" t="s">
        <v>305</v>
      </c>
      <c r="F1135" s="212" t="s">
        <v>2344</v>
      </c>
      <c r="G1135" s="209"/>
      <c r="H1135" s="215"/>
      <c r="I1135" s="209"/>
      <c r="J1135" s="209"/>
      <c r="K1135" s="209"/>
    </row>
    <row r="1136" spans="1:11">
      <c r="A1136" s="208"/>
      <c r="B1136" s="209" t="s">
        <v>3810</v>
      </c>
      <c r="C1136" s="211" t="s">
        <v>1799</v>
      </c>
      <c r="D1136" s="212">
        <v>9.9</v>
      </c>
      <c r="E1136" s="212">
        <v>1.8</v>
      </c>
      <c r="F1136" s="212" t="s">
        <v>319</v>
      </c>
      <c r="G1136" s="209"/>
      <c r="I1136" s="209"/>
      <c r="J1136" s="209"/>
      <c r="K1136" s="209"/>
    </row>
    <row r="1137" spans="1:11">
      <c r="A1137" s="208"/>
      <c r="B1137" s="209" t="s">
        <v>3810</v>
      </c>
      <c r="C1137" s="211" t="s">
        <v>4665</v>
      </c>
      <c r="D1137" s="209" t="s">
        <v>4666</v>
      </c>
      <c r="E1137" s="209" t="s">
        <v>4667</v>
      </c>
      <c r="F1137" s="209" t="s">
        <v>4660</v>
      </c>
      <c r="G1137" s="209"/>
      <c r="H1137" s="215"/>
      <c r="I1137" s="209"/>
      <c r="J1137" s="209"/>
      <c r="K1137" s="209"/>
    </row>
    <row r="1138" spans="1:11">
      <c r="A1138" s="208"/>
      <c r="B1138" s="209" t="s">
        <v>3810</v>
      </c>
      <c r="C1138" s="211" t="s">
        <v>784</v>
      </c>
      <c r="D1138" s="212">
        <v>7.46</v>
      </c>
      <c r="E1138" s="212">
        <v>1.1000000000000001</v>
      </c>
      <c r="F1138" s="212" t="s">
        <v>321</v>
      </c>
      <c r="G1138" s="209"/>
      <c r="H1138" s="215"/>
      <c r="I1138" s="209"/>
      <c r="J1138" s="209"/>
      <c r="K1138" s="209"/>
    </row>
    <row r="1139" spans="1:11">
      <c r="A1139" s="208"/>
      <c r="B1139" s="209" t="s">
        <v>3810</v>
      </c>
      <c r="C1139" s="211" t="s">
        <v>1802</v>
      </c>
      <c r="D1139" s="212">
        <v>5.81</v>
      </c>
      <c r="E1139" s="212">
        <v>1.38</v>
      </c>
      <c r="F1139" s="212" t="s">
        <v>2359</v>
      </c>
      <c r="G1139" s="212"/>
      <c r="H1139" s="215"/>
      <c r="I1139" s="209"/>
      <c r="J1139" s="209"/>
      <c r="K1139" s="209"/>
    </row>
    <row r="1140" spans="1:11">
      <c r="A1140" s="208"/>
      <c r="B1140" s="209" t="s">
        <v>3810</v>
      </c>
      <c r="C1140" s="211" t="s">
        <v>1805</v>
      </c>
      <c r="D1140" s="212">
        <v>9.1999999999999993</v>
      </c>
      <c r="E1140" s="212">
        <v>1.7</v>
      </c>
      <c r="F1140" s="209" t="s">
        <v>2372</v>
      </c>
      <c r="G1140" s="212"/>
      <c r="H1140" s="215"/>
      <c r="I1140" s="209"/>
      <c r="J1140" s="209"/>
      <c r="K1140" s="209"/>
    </row>
    <row r="1141" spans="1:11">
      <c r="A1141" s="208"/>
      <c r="B1141" s="209" t="s">
        <v>3810</v>
      </c>
      <c r="C1141" s="211" t="s">
        <v>1815</v>
      </c>
      <c r="D1141" s="212">
        <v>12.5</v>
      </c>
      <c r="E1141" s="212">
        <v>1.47</v>
      </c>
      <c r="F1141" s="212" t="s">
        <v>2366</v>
      </c>
      <c r="G1141" s="209"/>
      <c r="I1141" s="212"/>
      <c r="J1141" s="212"/>
      <c r="K1141" s="212"/>
    </row>
    <row r="1142" spans="1:11">
      <c r="A1142" s="208"/>
      <c r="B1142" s="280" t="s">
        <v>3810</v>
      </c>
      <c r="C1142" s="279" t="s">
        <v>1816</v>
      </c>
      <c r="D1142" s="278">
        <v>7.43</v>
      </c>
      <c r="E1142" s="278">
        <v>1.43</v>
      </c>
      <c r="F1142" s="278" t="s">
        <v>2372</v>
      </c>
      <c r="G1142" s="209"/>
      <c r="I1142" s="212"/>
      <c r="J1142" s="212"/>
      <c r="K1142" s="212"/>
    </row>
    <row r="1143" spans="1:11">
      <c r="A1143" s="208"/>
      <c r="B1143" s="209" t="s">
        <v>3810</v>
      </c>
      <c r="C1143" s="211" t="s">
        <v>1818</v>
      </c>
      <c r="D1143" s="212">
        <v>10.27</v>
      </c>
      <c r="E1143" s="212">
        <v>1.86</v>
      </c>
      <c r="F1143" s="212" t="s">
        <v>3508</v>
      </c>
      <c r="G1143" s="209"/>
      <c r="I1143" s="212"/>
      <c r="J1143" s="212"/>
      <c r="K1143" s="212"/>
    </row>
    <row r="1144" spans="1:11">
      <c r="A1144" s="208"/>
      <c r="B1144" s="209" t="s">
        <v>3810</v>
      </c>
      <c r="C1144" s="211" t="s">
        <v>1817</v>
      </c>
      <c r="D1144" s="212">
        <v>9.09</v>
      </c>
      <c r="E1144" s="212">
        <v>1.67</v>
      </c>
      <c r="F1144" s="212" t="s">
        <v>3560</v>
      </c>
      <c r="G1144" s="209"/>
      <c r="I1144" s="212"/>
      <c r="J1144" s="212"/>
      <c r="K1144" s="212"/>
    </row>
    <row r="1145" spans="1:11">
      <c r="A1145" s="208"/>
      <c r="B1145" s="209" t="s">
        <v>3810</v>
      </c>
      <c r="C1145" s="211" t="s">
        <v>1843</v>
      </c>
      <c r="D1145" s="212">
        <v>11.72</v>
      </c>
      <c r="E1145" s="212">
        <v>1.9</v>
      </c>
      <c r="F1145" s="212" t="s">
        <v>2377</v>
      </c>
      <c r="G1145" s="212"/>
      <c r="I1145" s="209"/>
      <c r="J1145" s="209"/>
      <c r="K1145" s="209"/>
    </row>
    <row r="1146" spans="1:11">
      <c r="A1146" s="208"/>
      <c r="B1146" s="209" t="s">
        <v>3810</v>
      </c>
      <c r="C1146" s="211" t="s">
        <v>3966</v>
      </c>
      <c r="D1146" s="212">
        <v>7.98</v>
      </c>
      <c r="E1146" s="212">
        <v>1.87</v>
      </c>
      <c r="F1146" s="212" t="s">
        <v>2343</v>
      </c>
      <c r="G1146" s="209"/>
      <c r="I1146" s="209"/>
      <c r="J1146" s="209"/>
      <c r="K1146" s="209"/>
    </row>
    <row r="1147" spans="1:11">
      <c r="A1147" s="208"/>
      <c r="B1147" s="209" t="s">
        <v>3810</v>
      </c>
      <c r="C1147" s="211" t="s">
        <v>3967</v>
      </c>
      <c r="D1147" s="212">
        <v>9.98</v>
      </c>
      <c r="E1147" s="212">
        <v>1.43</v>
      </c>
      <c r="F1147" s="212" t="s">
        <v>327</v>
      </c>
      <c r="G1147" s="209"/>
      <c r="I1147" s="209"/>
      <c r="J1147" s="209"/>
      <c r="K1147" s="209"/>
    </row>
    <row r="1148" spans="1:11">
      <c r="A1148" s="208"/>
      <c r="B1148" s="209" t="s">
        <v>3810</v>
      </c>
      <c r="C1148" s="211" t="s">
        <v>3969</v>
      </c>
      <c r="D1148" s="212">
        <v>6.63</v>
      </c>
      <c r="E1148" s="212">
        <v>1.17</v>
      </c>
      <c r="F1148" s="212" t="s">
        <v>3530</v>
      </c>
      <c r="G1148" s="209"/>
      <c r="I1148" s="209"/>
      <c r="J1148" s="209"/>
      <c r="K1148" s="209"/>
    </row>
    <row r="1149" spans="1:11">
      <c r="A1149" s="208"/>
      <c r="B1149" s="209" t="s">
        <v>3810</v>
      </c>
      <c r="C1149" s="211" t="s">
        <v>252</v>
      </c>
      <c r="D1149" s="212">
        <v>9.0500000000000007</v>
      </c>
      <c r="E1149" s="212">
        <v>1.45</v>
      </c>
      <c r="F1149" s="212" t="s">
        <v>2372</v>
      </c>
      <c r="G1149" s="209"/>
      <c r="I1149" s="212"/>
      <c r="J1149" s="212"/>
      <c r="K1149" s="212"/>
    </row>
    <row r="1150" spans="1:11">
      <c r="A1150" s="208"/>
      <c r="B1150" s="209" t="s">
        <v>3810</v>
      </c>
      <c r="C1150" s="211" t="s">
        <v>253</v>
      </c>
      <c r="D1150" s="212">
        <v>7.92</v>
      </c>
      <c r="E1150" s="212">
        <v>1.42</v>
      </c>
      <c r="F1150" s="212" t="s">
        <v>324</v>
      </c>
      <c r="G1150" s="209"/>
      <c r="I1150" s="212"/>
      <c r="J1150" s="212"/>
      <c r="K1150" s="212"/>
    </row>
    <row r="1151" spans="1:11">
      <c r="A1151" s="208"/>
      <c r="B1151" s="209" t="s">
        <v>3810</v>
      </c>
      <c r="C1151" s="211" t="s">
        <v>270</v>
      </c>
      <c r="D1151" s="212">
        <v>9.51</v>
      </c>
      <c r="E1151" s="212">
        <v>1.97</v>
      </c>
      <c r="F1151" s="212" t="s">
        <v>2341</v>
      </c>
      <c r="G1151" s="209"/>
      <c r="H1151" s="215"/>
      <c r="I1151" s="212"/>
      <c r="J1151" s="212"/>
      <c r="K1151" s="212"/>
    </row>
    <row r="1152" spans="1:11">
      <c r="A1152" s="208"/>
      <c r="B1152" s="209" t="s">
        <v>3810</v>
      </c>
      <c r="C1152" s="211" t="s">
        <v>271</v>
      </c>
      <c r="D1152" s="212">
        <v>9.5</v>
      </c>
      <c r="E1152" s="212">
        <v>1.85</v>
      </c>
      <c r="F1152" s="209" t="s">
        <v>2341</v>
      </c>
      <c r="G1152" s="209"/>
      <c r="H1152" s="215"/>
      <c r="I1152" s="212"/>
      <c r="J1152" s="212"/>
      <c r="K1152" s="212"/>
    </row>
    <row r="1153" spans="1:11">
      <c r="A1153" s="208"/>
      <c r="B1153" s="209" t="s">
        <v>3810</v>
      </c>
      <c r="C1153" s="211" t="s">
        <v>272</v>
      </c>
      <c r="D1153" s="212">
        <v>12.8</v>
      </c>
      <c r="E1153" s="212">
        <v>2.5</v>
      </c>
      <c r="F1153" s="209" t="s">
        <v>2362</v>
      </c>
      <c r="G1153" s="209"/>
      <c r="H1153" s="215"/>
      <c r="I1153" s="209"/>
      <c r="J1153" s="209"/>
      <c r="K1153" s="209"/>
    </row>
    <row r="1154" spans="1:11">
      <c r="A1154" s="208"/>
      <c r="B1154" s="209" t="s">
        <v>3810</v>
      </c>
      <c r="C1154" s="211" t="s">
        <v>273</v>
      </c>
      <c r="D1154" s="212">
        <v>7.32</v>
      </c>
      <c r="E1154" s="212">
        <v>1.75</v>
      </c>
      <c r="F1154" s="212" t="s">
        <v>321</v>
      </c>
      <c r="G1154" s="209"/>
      <c r="H1154" s="215"/>
      <c r="I1154" s="212"/>
      <c r="J1154" s="212"/>
      <c r="K1154" s="212"/>
    </row>
    <row r="1155" spans="1:11">
      <c r="A1155" s="208"/>
      <c r="B1155" s="209" t="s">
        <v>3810</v>
      </c>
      <c r="C1155" s="211" t="s">
        <v>274</v>
      </c>
      <c r="D1155" s="212">
        <v>11</v>
      </c>
      <c r="E1155" s="212">
        <v>2.2999999999999998</v>
      </c>
      <c r="F1155" s="209" t="s">
        <v>2345</v>
      </c>
      <c r="G1155" s="209"/>
      <c r="I1155" s="212"/>
      <c r="J1155" s="212"/>
      <c r="K1155" s="212"/>
    </row>
    <row r="1156" spans="1:11">
      <c r="A1156" s="208"/>
      <c r="B1156" s="209" t="s">
        <v>3810</v>
      </c>
      <c r="C1156" s="211" t="s">
        <v>275</v>
      </c>
      <c r="D1156" s="209" t="s">
        <v>1249</v>
      </c>
      <c r="E1156" s="212">
        <v>2.36</v>
      </c>
      <c r="F1156" s="212" t="s">
        <v>2345</v>
      </c>
      <c r="G1156" s="212"/>
      <c r="I1156" s="212"/>
      <c r="J1156" s="212"/>
      <c r="K1156" s="212"/>
    </row>
    <row r="1157" spans="1:11">
      <c r="A1157" s="208"/>
      <c r="B1157" s="209" t="s">
        <v>3810</v>
      </c>
      <c r="C1157" s="211" t="s">
        <v>276</v>
      </c>
      <c r="D1157" s="209" t="s">
        <v>1250</v>
      </c>
      <c r="E1157" s="212">
        <v>1.3</v>
      </c>
      <c r="F1157" s="212" t="s">
        <v>313</v>
      </c>
      <c r="G1157" s="212"/>
      <c r="I1157" s="209"/>
      <c r="J1157" s="209"/>
      <c r="K1157" s="209"/>
    </row>
    <row r="1158" spans="1:11">
      <c r="A1158" s="208"/>
      <c r="B1158" s="209" t="s">
        <v>3810</v>
      </c>
      <c r="C1158" s="211" t="s">
        <v>277</v>
      </c>
      <c r="D1158" s="212">
        <v>7.01</v>
      </c>
      <c r="E1158" s="212">
        <v>1.2</v>
      </c>
      <c r="F1158" s="212" t="s">
        <v>2370</v>
      </c>
      <c r="G1158" s="209"/>
      <c r="I1158" s="209"/>
      <c r="J1158" s="209"/>
      <c r="K1158" s="209"/>
    </row>
    <row r="1159" spans="1:11">
      <c r="A1159" s="208"/>
      <c r="B1159" s="209" t="s">
        <v>3810</v>
      </c>
      <c r="C1159" s="211" t="s">
        <v>785</v>
      </c>
      <c r="D1159" s="212">
        <v>6.55</v>
      </c>
      <c r="E1159" s="212">
        <v>1.35</v>
      </c>
      <c r="F1159" s="212" t="s">
        <v>3510</v>
      </c>
      <c r="G1159" s="209"/>
      <c r="H1159" s="215"/>
      <c r="I1159" s="212"/>
      <c r="J1159" s="212"/>
      <c r="K1159" s="212"/>
    </row>
    <row r="1160" spans="1:11">
      <c r="A1160" s="208"/>
      <c r="B1160" s="209" t="s">
        <v>3810</v>
      </c>
      <c r="C1160" s="211" t="s">
        <v>278</v>
      </c>
      <c r="D1160" s="212">
        <v>8.8000000000000007</v>
      </c>
      <c r="E1160" s="212">
        <v>1.96</v>
      </c>
      <c r="F1160" s="209" t="s">
        <v>314</v>
      </c>
      <c r="G1160" s="209"/>
      <c r="H1160" s="215"/>
      <c r="I1160" s="209"/>
      <c r="J1160" s="209"/>
      <c r="K1160" s="209"/>
    </row>
    <row r="1161" spans="1:11">
      <c r="A1161" s="208"/>
      <c r="B1161" s="209" t="s">
        <v>3810</v>
      </c>
      <c r="C1161" s="211" t="s">
        <v>279</v>
      </c>
      <c r="D1161" s="212">
        <v>7.93</v>
      </c>
      <c r="E1161" s="212">
        <v>1.6</v>
      </c>
      <c r="F1161" s="209" t="s">
        <v>280</v>
      </c>
      <c r="G1161" s="209"/>
      <c r="H1161" s="215"/>
      <c r="I1161" s="209"/>
      <c r="J1161" s="209"/>
      <c r="K1161" s="209"/>
    </row>
    <row r="1162" spans="1:11">
      <c r="A1162" s="208"/>
      <c r="B1162" s="209" t="s">
        <v>3810</v>
      </c>
      <c r="C1162" s="211" t="s">
        <v>287</v>
      </c>
      <c r="D1162" s="212">
        <v>9.83</v>
      </c>
      <c r="E1162" s="212">
        <v>1.8</v>
      </c>
      <c r="F1162" s="212" t="s">
        <v>3560</v>
      </c>
      <c r="G1162" s="212"/>
      <c r="H1162" s="215"/>
      <c r="I1162" s="212"/>
      <c r="J1162" s="212"/>
      <c r="K1162" s="212"/>
    </row>
    <row r="1163" spans="1:11">
      <c r="A1163" s="208"/>
      <c r="B1163" s="209" t="s">
        <v>3810</v>
      </c>
      <c r="C1163" s="211" t="s">
        <v>288</v>
      </c>
      <c r="D1163" s="209" t="s">
        <v>2063</v>
      </c>
      <c r="E1163" s="212">
        <v>1.78</v>
      </c>
      <c r="F1163" s="212" t="s">
        <v>3560</v>
      </c>
      <c r="G1163" s="209"/>
      <c r="I1163" s="212"/>
      <c r="J1163" s="212"/>
      <c r="K1163" s="212"/>
    </row>
    <row r="1164" spans="1:11">
      <c r="A1164" s="208"/>
      <c r="B1164" s="209" t="s">
        <v>3810</v>
      </c>
      <c r="C1164" s="211" t="s">
        <v>289</v>
      </c>
      <c r="D1164" s="212">
        <v>5.55</v>
      </c>
      <c r="E1164" s="212">
        <v>1.75</v>
      </c>
      <c r="F1164" s="209" t="s">
        <v>2346</v>
      </c>
      <c r="G1164" s="212"/>
      <c r="H1164" s="215"/>
      <c r="I1164" s="209"/>
      <c r="J1164" s="209"/>
      <c r="K1164" s="209"/>
    </row>
    <row r="1165" spans="1:11">
      <c r="A1165" s="208"/>
      <c r="B1165" s="209" t="s">
        <v>3810</v>
      </c>
      <c r="C1165" s="211" t="s">
        <v>295</v>
      </c>
      <c r="D1165" s="212">
        <v>7.3</v>
      </c>
      <c r="E1165" s="212">
        <v>1.5</v>
      </c>
      <c r="F1165" s="212" t="s">
        <v>310</v>
      </c>
      <c r="G1165" s="212"/>
      <c r="H1165" s="215"/>
      <c r="I1165" s="212"/>
      <c r="J1165" s="212"/>
      <c r="K1165" s="212"/>
    </row>
    <row r="1166" spans="1:11">
      <c r="A1166" s="208"/>
      <c r="B1166" s="209" t="s">
        <v>3810</v>
      </c>
      <c r="C1166" s="211" t="s">
        <v>2142</v>
      </c>
      <c r="D1166" s="209" t="s">
        <v>1254</v>
      </c>
      <c r="E1166" s="212">
        <v>1.48</v>
      </c>
      <c r="F1166" s="212" t="s">
        <v>2353</v>
      </c>
      <c r="G1166" s="212"/>
      <c r="H1166" s="215"/>
      <c r="I1166" s="209"/>
      <c r="J1166" s="209"/>
      <c r="K1166" s="209"/>
    </row>
    <row r="1167" spans="1:11">
      <c r="A1167" s="208"/>
      <c r="B1167" s="209" t="s">
        <v>3810</v>
      </c>
      <c r="C1167" s="211" t="s">
        <v>2143</v>
      </c>
      <c r="D1167" s="212">
        <v>8.9</v>
      </c>
      <c r="E1167" s="212">
        <v>1.7</v>
      </c>
      <c r="F1167" s="212" t="s">
        <v>3510</v>
      </c>
      <c r="G1167" s="212"/>
      <c r="I1167" s="212"/>
      <c r="J1167" s="212"/>
      <c r="K1167" s="209"/>
    </row>
    <row r="1168" spans="1:11">
      <c r="A1168" s="208"/>
      <c r="B1168" s="209" t="s">
        <v>3810</v>
      </c>
      <c r="C1168" s="211" t="s">
        <v>2145</v>
      </c>
      <c r="D1168" s="212">
        <v>7.85</v>
      </c>
      <c r="E1168" s="212">
        <v>1.17</v>
      </c>
      <c r="F1168" s="212" t="s">
        <v>2146</v>
      </c>
      <c r="G1168" s="209"/>
      <c r="I1168" s="209"/>
      <c r="J1168" s="209"/>
      <c r="K1168" s="209"/>
    </row>
    <row r="1169" spans="1:11">
      <c r="A1169" s="208"/>
      <c r="B1169" s="209" t="s">
        <v>3810</v>
      </c>
      <c r="C1169" s="211" t="s">
        <v>2147</v>
      </c>
      <c r="D1169" s="212">
        <v>10</v>
      </c>
      <c r="E1169" s="212">
        <v>2.04</v>
      </c>
      <c r="F1169" s="212" t="s">
        <v>321</v>
      </c>
      <c r="G1169" s="209"/>
      <c r="H1169" s="215"/>
      <c r="I1169" s="209"/>
      <c r="J1169" s="209"/>
      <c r="K1169" s="209"/>
    </row>
    <row r="1170" spans="1:11">
      <c r="A1170" s="208"/>
      <c r="B1170" s="209" t="s">
        <v>3810</v>
      </c>
      <c r="C1170" s="211" t="s">
        <v>2149</v>
      </c>
      <c r="D1170" s="212">
        <v>9.4499999999999993</v>
      </c>
      <c r="E1170" s="212">
        <v>1.83</v>
      </c>
      <c r="F1170" s="212" t="s">
        <v>324</v>
      </c>
      <c r="G1170" s="209"/>
      <c r="I1170" s="212"/>
      <c r="J1170" s="212"/>
      <c r="K1170" s="212"/>
    </row>
    <row r="1171" spans="1:11">
      <c r="A1171" s="208"/>
      <c r="B1171" s="209" t="s">
        <v>3810</v>
      </c>
      <c r="C1171" s="211" t="s">
        <v>2152</v>
      </c>
      <c r="D1171" s="212">
        <v>11</v>
      </c>
      <c r="E1171" s="212">
        <v>2.44</v>
      </c>
      <c r="F1171" s="212" t="s">
        <v>2345</v>
      </c>
      <c r="G1171" s="209"/>
      <c r="I1171" s="209"/>
      <c r="J1171" s="209"/>
      <c r="K1171" s="209"/>
    </row>
    <row r="1172" spans="1:11">
      <c r="A1172" s="208"/>
      <c r="B1172" s="209" t="s">
        <v>3810</v>
      </c>
      <c r="C1172" s="211" t="s">
        <v>4007</v>
      </c>
      <c r="D1172" s="212">
        <v>9.9</v>
      </c>
      <c r="E1172" s="212">
        <v>1.2</v>
      </c>
      <c r="F1172" s="209" t="s">
        <v>327</v>
      </c>
      <c r="G1172" s="209"/>
      <c r="H1172" s="215"/>
      <c r="I1172" s="209"/>
      <c r="J1172" s="209"/>
      <c r="K1172" s="209"/>
    </row>
    <row r="1173" spans="1:11">
      <c r="A1173" s="208"/>
      <c r="B1173" s="209" t="s">
        <v>3810</v>
      </c>
      <c r="C1173" s="211" t="s">
        <v>4008</v>
      </c>
      <c r="D1173" s="212">
        <v>9.1999999999999993</v>
      </c>
      <c r="E1173" s="212">
        <v>1.7</v>
      </c>
      <c r="F1173" s="209" t="s">
        <v>3527</v>
      </c>
      <c r="G1173" s="209"/>
      <c r="H1173" s="215"/>
      <c r="I1173" s="212"/>
      <c r="J1173" s="212"/>
      <c r="K1173" s="212"/>
    </row>
    <row r="1174" spans="1:11">
      <c r="A1174" s="208"/>
      <c r="B1174" s="209" t="s">
        <v>3810</v>
      </c>
      <c r="C1174" s="211" t="s">
        <v>4009</v>
      </c>
      <c r="D1174" s="209" t="s">
        <v>2083</v>
      </c>
      <c r="E1174" s="212">
        <v>2.0499999999999998</v>
      </c>
      <c r="F1174" s="209" t="s">
        <v>324</v>
      </c>
      <c r="G1174" s="209"/>
      <c r="I1174" s="209"/>
      <c r="J1174" s="209"/>
      <c r="K1174" s="209"/>
    </row>
    <row r="1175" spans="1:11">
      <c r="A1175" s="208"/>
      <c r="B1175" s="209" t="s">
        <v>3810</v>
      </c>
      <c r="C1175" s="211" t="s">
        <v>4010</v>
      </c>
      <c r="D1175" s="212">
        <v>8.02</v>
      </c>
      <c r="E1175" s="212">
        <v>1.68</v>
      </c>
      <c r="F1175" s="212" t="s">
        <v>327</v>
      </c>
      <c r="G1175" s="209"/>
      <c r="H1175" s="215"/>
      <c r="I1175" s="209"/>
      <c r="J1175" s="209"/>
      <c r="K1175" s="209"/>
    </row>
    <row r="1176" spans="1:11">
      <c r="A1176" s="208"/>
      <c r="B1176" s="209" t="s">
        <v>3810</v>
      </c>
      <c r="C1176" s="211" t="s">
        <v>4011</v>
      </c>
      <c r="D1176" s="212">
        <v>8.02</v>
      </c>
      <c r="E1176" s="212">
        <v>1.32</v>
      </c>
      <c r="F1176" s="212" t="s">
        <v>327</v>
      </c>
      <c r="G1176" s="209"/>
      <c r="I1176" s="209"/>
      <c r="J1176" s="209"/>
      <c r="K1176" s="209"/>
    </row>
    <row r="1177" spans="1:11">
      <c r="A1177" s="208"/>
      <c r="B1177" s="209" t="s">
        <v>3810</v>
      </c>
      <c r="C1177" s="211" t="s">
        <v>3269</v>
      </c>
      <c r="D1177" s="212">
        <v>6.8</v>
      </c>
      <c r="E1177" s="212">
        <v>1.8</v>
      </c>
      <c r="F1177" s="209" t="s">
        <v>2377</v>
      </c>
      <c r="G1177" s="209"/>
      <c r="H1177" s="215"/>
      <c r="I1177" s="209"/>
      <c r="J1177" s="209"/>
      <c r="K1177" s="209"/>
    </row>
    <row r="1178" spans="1:11">
      <c r="A1178" s="208"/>
      <c r="B1178" s="209" t="s">
        <v>3810</v>
      </c>
      <c r="C1178" s="211" t="s">
        <v>3270</v>
      </c>
      <c r="D1178" s="209" t="s">
        <v>1262</v>
      </c>
      <c r="E1178" s="212">
        <v>1.79</v>
      </c>
      <c r="F1178" s="212" t="s">
        <v>2357</v>
      </c>
      <c r="G1178" s="212"/>
      <c r="I1178" s="209"/>
      <c r="J1178" s="209"/>
      <c r="K1178" s="209"/>
    </row>
    <row r="1179" spans="1:11">
      <c r="A1179" s="208"/>
      <c r="B1179" s="209" t="s">
        <v>3810</v>
      </c>
      <c r="C1179" s="211" t="s">
        <v>3271</v>
      </c>
      <c r="D1179" s="212">
        <v>9.36</v>
      </c>
      <c r="E1179" s="212">
        <v>1.86</v>
      </c>
      <c r="F1179" s="212" t="s">
        <v>2353</v>
      </c>
      <c r="G1179" s="212"/>
      <c r="I1179" s="209"/>
      <c r="J1179" s="209"/>
      <c r="K1179" s="209"/>
    </row>
    <row r="1180" spans="1:11">
      <c r="A1180" s="208"/>
      <c r="B1180" s="209" t="s">
        <v>3810</v>
      </c>
      <c r="C1180" s="211" t="s">
        <v>3272</v>
      </c>
      <c r="D1180" s="212">
        <v>7.65</v>
      </c>
      <c r="E1180" s="212">
        <v>1.6</v>
      </c>
      <c r="F1180" s="209" t="s">
        <v>327</v>
      </c>
      <c r="G1180" s="212"/>
      <c r="H1180" s="215"/>
      <c r="I1180" s="209"/>
      <c r="J1180" s="209"/>
      <c r="K1180" s="209"/>
    </row>
    <row r="1181" spans="1:11">
      <c r="A1181" s="208"/>
      <c r="B1181" s="209" t="s">
        <v>3810</v>
      </c>
      <c r="C1181" s="211" t="s">
        <v>3273</v>
      </c>
      <c r="D1181" s="209" t="s">
        <v>2070</v>
      </c>
      <c r="E1181" s="212">
        <v>1.8</v>
      </c>
      <c r="F1181" s="209" t="s">
        <v>2353</v>
      </c>
      <c r="G1181" s="212"/>
      <c r="I1181" s="209"/>
      <c r="J1181" s="209"/>
      <c r="K1181" s="209"/>
    </row>
    <row r="1182" spans="1:11">
      <c r="A1182" s="208"/>
      <c r="B1182" s="209" t="s">
        <v>3810</v>
      </c>
      <c r="C1182" s="211" t="s">
        <v>979</v>
      </c>
      <c r="D1182" s="209" t="s">
        <v>2042</v>
      </c>
      <c r="E1182" s="209">
        <v>1.75</v>
      </c>
      <c r="F1182" s="209" t="s">
        <v>2377</v>
      </c>
      <c r="G1182" s="212"/>
      <c r="I1182" s="209"/>
      <c r="J1182" s="209"/>
      <c r="K1182" s="209"/>
    </row>
    <row r="1183" spans="1:11">
      <c r="A1183" s="208"/>
      <c r="B1183" s="209" t="s">
        <v>3810</v>
      </c>
      <c r="C1183" s="211" t="s">
        <v>991</v>
      </c>
      <c r="D1183" s="212">
        <v>10.029999999999999</v>
      </c>
      <c r="E1183" s="212">
        <v>2.12</v>
      </c>
      <c r="F1183" s="209" t="s">
        <v>341</v>
      </c>
      <c r="G1183" s="209"/>
      <c r="H1183" s="215"/>
      <c r="I1183" s="209"/>
      <c r="J1183" s="209"/>
      <c r="K1183" s="209"/>
    </row>
    <row r="1184" spans="1:11">
      <c r="A1184" s="208"/>
      <c r="B1184" s="209" t="s">
        <v>3810</v>
      </c>
      <c r="C1184" s="211" t="s">
        <v>994</v>
      </c>
      <c r="D1184" s="212">
        <v>9.24</v>
      </c>
      <c r="E1184" s="212">
        <v>1.87</v>
      </c>
      <c r="F1184" s="212" t="s">
        <v>332</v>
      </c>
      <c r="G1184" s="209"/>
      <c r="I1184" s="209"/>
      <c r="J1184" s="209"/>
      <c r="K1184" s="209"/>
    </row>
    <row r="1185" spans="1:11">
      <c r="A1185" s="208"/>
      <c r="B1185" s="209" t="s">
        <v>3810</v>
      </c>
      <c r="C1185" s="211" t="s">
        <v>995</v>
      </c>
      <c r="D1185" s="212">
        <v>8.0500000000000007</v>
      </c>
      <c r="E1185" s="212">
        <v>1.5</v>
      </c>
      <c r="F1185" s="212" t="s">
        <v>2355</v>
      </c>
      <c r="G1185" s="209"/>
      <c r="I1185" s="209"/>
      <c r="J1185" s="209"/>
      <c r="K1185" s="209"/>
    </row>
    <row r="1186" spans="1:11">
      <c r="A1186" s="208"/>
      <c r="B1186" s="209" t="s">
        <v>3810</v>
      </c>
      <c r="C1186" s="211" t="s">
        <v>1005</v>
      </c>
      <c r="D1186" s="212">
        <v>11.22</v>
      </c>
      <c r="E1186" s="212">
        <v>1.54</v>
      </c>
      <c r="F1186" s="212" t="s">
        <v>2146</v>
      </c>
      <c r="G1186" s="209"/>
      <c r="I1186" s="209"/>
      <c r="J1186" s="209"/>
      <c r="K1186" s="209"/>
    </row>
    <row r="1187" spans="1:11">
      <c r="A1187" s="208"/>
      <c r="B1187" s="209" t="s">
        <v>3810</v>
      </c>
      <c r="C1187" s="211" t="s">
        <v>467</v>
      </c>
      <c r="D1187" s="209" t="s">
        <v>468</v>
      </c>
      <c r="E1187" s="209" t="s">
        <v>469</v>
      </c>
      <c r="F1187" s="209" t="s">
        <v>314</v>
      </c>
      <c r="G1187" s="212"/>
      <c r="I1187" s="209"/>
      <c r="J1187" s="209"/>
      <c r="K1187" s="209"/>
    </row>
    <row r="1188" spans="1:11">
      <c r="A1188" s="208"/>
      <c r="B1188" s="209" t="s">
        <v>3810</v>
      </c>
      <c r="C1188" s="211" t="s">
        <v>50</v>
      </c>
      <c r="D1188" s="212">
        <v>7.79</v>
      </c>
      <c r="E1188" s="212">
        <v>1.48</v>
      </c>
      <c r="F1188" s="212" t="s">
        <v>2372</v>
      </c>
      <c r="G1188" s="212"/>
      <c r="I1188" s="209"/>
      <c r="J1188" s="209"/>
      <c r="K1188" s="209"/>
    </row>
    <row r="1189" spans="1:11">
      <c r="A1189" s="208"/>
      <c r="B1189" s="209" t="s">
        <v>3810</v>
      </c>
      <c r="C1189" s="211" t="s">
        <v>51</v>
      </c>
      <c r="D1189" s="212">
        <v>10.85</v>
      </c>
      <c r="E1189" s="212">
        <v>2.1</v>
      </c>
      <c r="F1189" s="212" t="s">
        <v>2377</v>
      </c>
      <c r="G1189" s="212"/>
      <c r="I1189" s="209"/>
      <c r="J1189" s="209"/>
      <c r="K1189" s="209"/>
    </row>
    <row r="1190" spans="1:11">
      <c r="A1190" s="208"/>
      <c r="B1190" s="209" t="s">
        <v>3810</v>
      </c>
      <c r="C1190" s="211" t="s">
        <v>56</v>
      </c>
      <c r="D1190" s="209" t="s">
        <v>1281</v>
      </c>
      <c r="E1190" s="212">
        <v>1.52</v>
      </c>
      <c r="F1190" s="212" t="s">
        <v>2146</v>
      </c>
      <c r="G1190" s="212"/>
      <c r="I1190" s="212"/>
      <c r="J1190" s="212"/>
      <c r="K1190" s="212"/>
    </row>
    <row r="1191" spans="1:11">
      <c r="A1191" s="208"/>
      <c r="B1191" s="209" t="s">
        <v>3810</v>
      </c>
      <c r="C1191" s="211" t="s">
        <v>57</v>
      </c>
      <c r="D1191" s="212">
        <v>8.5</v>
      </c>
      <c r="E1191" s="212">
        <v>1.8</v>
      </c>
      <c r="F1191" s="212" t="s">
        <v>2347</v>
      </c>
      <c r="G1191" s="209"/>
      <c r="I1191" s="209"/>
      <c r="J1191" s="209"/>
      <c r="K1191" s="209"/>
    </row>
    <row r="1192" spans="1:11">
      <c r="A1192" s="208"/>
      <c r="B1192" s="209" t="s">
        <v>3810</v>
      </c>
      <c r="C1192" s="211" t="s">
        <v>58</v>
      </c>
      <c r="D1192" s="212">
        <v>9.14</v>
      </c>
      <c r="E1192" s="212">
        <v>1.69</v>
      </c>
      <c r="F1192" s="212" t="s">
        <v>326</v>
      </c>
      <c r="G1192" s="212"/>
      <c r="I1192" s="209"/>
      <c r="J1192" s="209"/>
      <c r="K1192" s="209"/>
    </row>
    <row r="1193" spans="1:11">
      <c r="A1193" s="208"/>
      <c r="B1193" s="209" t="s">
        <v>3810</v>
      </c>
      <c r="C1193" s="211" t="s">
        <v>59</v>
      </c>
      <c r="D1193" s="212">
        <v>7.64</v>
      </c>
      <c r="E1193" s="212">
        <v>1.31</v>
      </c>
      <c r="F1193" s="212" t="s">
        <v>993</v>
      </c>
      <c r="G1193" s="212"/>
      <c r="I1193" s="212"/>
      <c r="J1193" s="212"/>
      <c r="K1193" s="212"/>
    </row>
    <row r="1194" spans="1:11">
      <c r="A1194" s="208"/>
      <c r="B1194" s="209" t="s">
        <v>3810</v>
      </c>
      <c r="C1194" s="211" t="s">
        <v>60</v>
      </c>
      <c r="D1194" s="212">
        <v>11.56</v>
      </c>
      <c r="E1194" s="212">
        <v>1.6</v>
      </c>
      <c r="F1194" s="212" t="s">
        <v>341</v>
      </c>
      <c r="G1194" s="212"/>
      <c r="I1194" s="209"/>
      <c r="J1194" s="209"/>
      <c r="K1194" s="209"/>
    </row>
    <row r="1195" spans="1:11">
      <c r="A1195" s="208"/>
      <c r="B1195" s="209" t="s">
        <v>3810</v>
      </c>
      <c r="C1195" s="211" t="s">
        <v>61</v>
      </c>
      <c r="D1195" s="212">
        <v>11.06</v>
      </c>
      <c r="E1195" s="212">
        <v>1.99</v>
      </c>
      <c r="F1195" s="212" t="s">
        <v>2370</v>
      </c>
      <c r="G1195" s="209"/>
      <c r="I1195" s="212"/>
      <c r="J1195" s="212"/>
      <c r="K1195" s="212"/>
    </row>
    <row r="1196" spans="1:11">
      <c r="A1196" s="208"/>
      <c r="B1196" s="209" t="s">
        <v>3810</v>
      </c>
      <c r="C1196" s="211" t="s">
        <v>62</v>
      </c>
      <c r="D1196" s="212">
        <v>7.66</v>
      </c>
      <c r="E1196" s="212">
        <v>1.27</v>
      </c>
      <c r="F1196" s="212" t="s">
        <v>310</v>
      </c>
      <c r="G1196" s="209"/>
      <c r="I1196" s="209"/>
      <c r="J1196" s="209"/>
      <c r="K1196" s="209"/>
    </row>
    <row r="1197" spans="1:11">
      <c r="A1197" s="208"/>
      <c r="B1197" s="209" t="s">
        <v>3810</v>
      </c>
      <c r="C1197" s="211" t="s">
        <v>73</v>
      </c>
      <c r="D1197" s="212">
        <v>8.24</v>
      </c>
      <c r="E1197" s="212">
        <v>1.33</v>
      </c>
      <c r="F1197" s="212" t="s">
        <v>3510</v>
      </c>
      <c r="G1197" s="212"/>
      <c r="I1197" s="209"/>
      <c r="J1197" s="209"/>
      <c r="K1197" s="209"/>
    </row>
    <row r="1198" spans="1:11">
      <c r="A1198" s="208"/>
      <c r="B1198" s="209" t="s">
        <v>3810</v>
      </c>
      <c r="C1198" s="211" t="s">
        <v>74</v>
      </c>
      <c r="D1198" s="209" t="s">
        <v>1283</v>
      </c>
      <c r="E1198" s="212">
        <v>1.6</v>
      </c>
      <c r="F1198" s="212" t="s">
        <v>3536</v>
      </c>
      <c r="G1198" s="209"/>
      <c r="I1198" s="212"/>
      <c r="J1198" s="212"/>
      <c r="K1198" s="209"/>
    </row>
    <row r="1199" spans="1:11">
      <c r="A1199" s="208"/>
      <c r="B1199" s="209" t="s">
        <v>3810</v>
      </c>
      <c r="C1199" s="211" t="s">
        <v>82</v>
      </c>
      <c r="D1199" s="212">
        <v>12.72</v>
      </c>
      <c r="E1199" s="212">
        <v>1.78</v>
      </c>
      <c r="F1199" s="212" t="s">
        <v>308</v>
      </c>
      <c r="G1199" s="209"/>
      <c r="I1199" s="212"/>
      <c r="J1199" s="212"/>
      <c r="K1199" s="212"/>
    </row>
    <row r="1200" spans="1:11">
      <c r="A1200" s="208"/>
      <c r="B1200" s="209" t="s">
        <v>3810</v>
      </c>
      <c r="C1200" s="211" t="s">
        <v>83</v>
      </c>
      <c r="D1200" s="212">
        <v>9.86</v>
      </c>
      <c r="E1200" s="212">
        <v>1.8</v>
      </c>
      <c r="F1200" s="212" t="s">
        <v>2372</v>
      </c>
      <c r="G1200" s="212"/>
      <c r="H1200" s="215"/>
      <c r="I1200" s="209"/>
      <c r="J1200" s="209"/>
      <c r="K1200" s="209"/>
    </row>
    <row r="1201" spans="1:11">
      <c r="A1201" s="208"/>
      <c r="B1201" s="209" t="s">
        <v>3810</v>
      </c>
      <c r="C1201" s="211" t="s">
        <v>84</v>
      </c>
      <c r="D1201" s="212">
        <v>11.47</v>
      </c>
      <c r="E1201" s="212">
        <v>1.73</v>
      </c>
      <c r="F1201" s="212" t="s">
        <v>2343</v>
      </c>
      <c r="G1201" s="212"/>
      <c r="I1201" s="212"/>
      <c r="J1201" s="212"/>
      <c r="K1201" s="212"/>
    </row>
    <row r="1202" spans="1:11">
      <c r="A1202" s="208"/>
      <c r="B1202" s="209" t="s">
        <v>3810</v>
      </c>
      <c r="C1202" s="211" t="s">
        <v>85</v>
      </c>
      <c r="D1202" s="212">
        <v>9.34</v>
      </c>
      <c r="E1202" s="212">
        <v>1.58</v>
      </c>
      <c r="F1202" s="212" t="s">
        <v>2366</v>
      </c>
      <c r="G1202" s="209"/>
      <c r="I1202" s="212"/>
      <c r="J1202" s="212"/>
      <c r="K1202" s="212"/>
    </row>
    <row r="1203" spans="1:11">
      <c r="A1203" s="208"/>
      <c r="B1203" s="209" t="s">
        <v>3810</v>
      </c>
      <c r="C1203" s="211" t="s">
        <v>86</v>
      </c>
      <c r="D1203" s="212">
        <v>6.4</v>
      </c>
      <c r="E1203" s="212">
        <v>1.42</v>
      </c>
      <c r="F1203" s="212" t="s">
        <v>2339</v>
      </c>
      <c r="G1203" s="212"/>
      <c r="H1203" s="215"/>
      <c r="I1203" s="209"/>
      <c r="J1203" s="209"/>
      <c r="K1203" s="209"/>
    </row>
    <row r="1204" spans="1:11">
      <c r="A1204" s="208"/>
      <c r="B1204" s="209" t="s">
        <v>3810</v>
      </c>
      <c r="C1204" s="211" t="s">
        <v>87</v>
      </c>
      <c r="D1204" s="212">
        <v>9.49</v>
      </c>
      <c r="E1204" s="212">
        <v>1.99</v>
      </c>
      <c r="F1204" s="209" t="s">
        <v>2348</v>
      </c>
      <c r="G1204" s="209"/>
      <c r="I1204" s="209"/>
      <c r="J1204" s="209"/>
      <c r="K1204" s="209"/>
    </row>
    <row r="1205" spans="1:11">
      <c r="A1205" s="208"/>
      <c r="B1205" s="209" t="s">
        <v>3810</v>
      </c>
      <c r="C1205" s="211" t="s">
        <v>88</v>
      </c>
      <c r="D1205" s="212">
        <v>9.85</v>
      </c>
      <c r="E1205" s="212">
        <v>1.8</v>
      </c>
      <c r="F1205" s="212" t="s">
        <v>2340</v>
      </c>
      <c r="G1205" s="212"/>
      <c r="H1205" s="215"/>
      <c r="I1205" s="212"/>
      <c r="J1205" s="212"/>
      <c r="K1205" s="212"/>
    </row>
    <row r="1206" spans="1:11">
      <c r="A1206" s="208"/>
      <c r="B1206" s="209" t="s">
        <v>3810</v>
      </c>
      <c r="C1206" s="211" t="s">
        <v>89</v>
      </c>
      <c r="D1206" s="212">
        <v>21.5</v>
      </c>
      <c r="E1206" s="212">
        <v>4.5</v>
      </c>
      <c r="F1206" s="209" t="s">
        <v>316</v>
      </c>
      <c r="G1206" s="209"/>
      <c r="I1206" s="209"/>
      <c r="J1206" s="209"/>
      <c r="K1206" s="209"/>
    </row>
    <row r="1207" spans="1:11">
      <c r="A1207" s="208"/>
      <c r="B1207" s="209" t="s">
        <v>3810</v>
      </c>
      <c r="C1207" s="211" t="s">
        <v>587</v>
      </c>
      <c r="D1207" s="209" t="s">
        <v>588</v>
      </c>
      <c r="E1207" s="209" t="s">
        <v>589</v>
      </c>
      <c r="F1207" s="209" t="s">
        <v>1113</v>
      </c>
      <c r="G1207" s="209"/>
      <c r="I1207" s="209"/>
      <c r="J1207" s="209"/>
      <c r="K1207" s="209"/>
    </row>
    <row r="1208" spans="1:11">
      <c r="A1208" s="208"/>
      <c r="B1208" s="209" t="s">
        <v>3810</v>
      </c>
      <c r="C1208" s="211" t="s">
        <v>90</v>
      </c>
      <c r="D1208" s="209" t="s">
        <v>1287</v>
      </c>
      <c r="E1208" s="212">
        <v>1.68</v>
      </c>
      <c r="F1208" s="212" t="s">
        <v>341</v>
      </c>
      <c r="G1208" s="212"/>
      <c r="H1208" s="215"/>
      <c r="I1208" s="209"/>
      <c r="J1208" s="209"/>
      <c r="K1208" s="209"/>
    </row>
    <row r="1209" spans="1:11">
      <c r="A1209" s="208"/>
      <c r="B1209" s="209" t="s">
        <v>3810</v>
      </c>
      <c r="C1209" s="211" t="s">
        <v>471</v>
      </c>
      <c r="D1209" s="209" t="s">
        <v>472</v>
      </c>
      <c r="E1209" s="209" t="s">
        <v>473</v>
      </c>
      <c r="F1209" s="209" t="s">
        <v>2348</v>
      </c>
      <c r="G1209" s="209"/>
      <c r="H1209" s="215"/>
      <c r="I1209" s="212"/>
      <c r="J1209" s="212"/>
      <c r="K1209" s="212"/>
    </row>
    <row r="1210" spans="1:11">
      <c r="A1210" s="208"/>
      <c r="B1210" s="209" t="s">
        <v>3810</v>
      </c>
      <c r="C1210" s="211" t="s">
        <v>91</v>
      </c>
      <c r="D1210" s="212">
        <v>12.7</v>
      </c>
      <c r="E1210" s="212">
        <v>2</v>
      </c>
      <c r="F1210" s="209" t="s">
        <v>2345</v>
      </c>
      <c r="G1210" s="209"/>
      <c r="I1210" s="212"/>
      <c r="J1210" s="212"/>
      <c r="K1210" s="212"/>
    </row>
    <row r="1211" spans="1:11">
      <c r="A1211" s="208"/>
      <c r="B1211" s="209" t="s">
        <v>3810</v>
      </c>
      <c r="C1211" s="211" t="s">
        <v>92</v>
      </c>
      <c r="D1211" s="212">
        <v>10.56</v>
      </c>
      <c r="E1211" s="212">
        <v>1.59</v>
      </c>
      <c r="F1211" s="212" t="s">
        <v>93</v>
      </c>
      <c r="G1211" s="212"/>
      <c r="H1211" s="215"/>
      <c r="I1211" s="209"/>
      <c r="J1211" s="209"/>
      <c r="K1211" s="209"/>
    </row>
    <row r="1212" spans="1:11">
      <c r="A1212" s="208"/>
      <c r="B1212" s="209" t="s">
        <v>3810</v>
      </c>
      <c r="C1212" s="211" t="s">
        <v>1358</v>
      </c>
      <c r="D1212" s="209" t="s">
        <v>1295</v>
      </c>
      <c r="E1212" s="212">
        <v>2</v>
      </c>
      <c r="F1212" s="209" t="s">
        <v>311</v>
      </c>
      <c r="G1212" s="209"/>
      <c r="H1212" s="215"/>
      <c r="I1212" s="212"/>
      <c r="J1212" s="212"/>
      <c r="K1212" s="209"/>
    </row>
    <row r="1213" spans="1:11">
      <c r="A1213" s="208"/>
      <c r="B1213" s="209" t="s">
        <v>3810</v>
      </c>
      <c r="C1213" s="211" t="s">
        <v>4670</v>
      </c>
      <c r="D1213" s="209" t="s">
        <v>468</v>
      </c>
      <c r="E1213" s="209" t="s">
        <v>4671</v>
      </c>
      <c r="F1213" s="209" t="s">
        <v>4660</v>
      </c>
      <c r="G1213" s="209"/>
      <c r="I1213" s="209"/>
      <c r="J1213" s="209"/>
      <c r="K1213" s="209"/>
    </row>
    <row r="1214" spans="1:11">
      <c r="A1214" s="208"/>
      <c r="B1214" s="209" t="s">
        <v>3810</v>
      </c>
      <c r="C1214" s="211" t="s">
        <v>2635</v>
      </c>
      <c r="D1214" s="209">
        <v>9.16</v>
      </c>
      <c r="E1214" s="209">
        <v>1.7</v>
      </c>
      <c r="F1214" s="209" t="s">
        <v>327</v>
      </c>
      <c r="G1214" s="209"/>
      <c r="I1214" s="209"/>
      <c r="J1214" s="209"/>
      <c r="K1214" s="209"/>
    </row>
    <row r="1215" spans="1:11">
      <c r="A1215" s="208"/>
      <c r="B1215" s="209" t="s">
        <v>3831</v>
      </c>
      <c r="C1215" s="211" t="s">
        <v>2578</v>
      </c>
      <c r="D1215" s="212">
        <v>7.98</v>
      </c>
      <c r="E1215" s="212">
        <v>1.47</v>
      </c>
      <c r="F1215" s="212" t="s">
        <v>2353</v>
      </c>
      <c r="G1215" s="209"/>
      <c r="H1215" s="215"/>
      <c r="I1215" s="212"/>
      <c r="J1215" s="212"/>
      <c r="K1215" s="212"/>
    </row>
    <row r="1216" spans="1:11">
      <c r="A1216" s="208"/>
      <c r="B1216" s="209" t="s">
        <v>3831</v>
      </c>
      <c r="C1216" s="211" t="s">
        <v>2579</v>
      </c>
      <c r="D1216" s="212">
        <v>10.19</v>
      </c>
      <c r="E1216" s="212">
        <v>1.87</v>
      </c>
      <c r="F1216" s="212" t="s">
        <v>2372</v>
      </c>
      <c r="G1216" s="209"/>
      <c r="I1216" s="209"/>
      <c r="J1216" s="209"/>
      <c r="K1216" s="209"/>
    </row>
    <row r="1217" spans="1:11">
      <c r="A1217" s="208"/>
      <c r="B1217" s="209" t="s">
        <v>3831</v>
      </c>
      <c r="C1217" s="211" t="s">
        <v>2580</v>
      </c>
      <c r="D1217" s="212">
        <v>10.54</v>
      </c>
      <c r="E1217" s="212">
        <v>2</v>
      </c>
      <c r="F1217" s="212" t="s">
        <v>3560</v>
      </c>
      <c r="G1217" s="209"/>
      <c r="I1217" s="212"/>
      <c r="J1217" s="212"/>
      <c r="K1217" s="212"/>
    </row>
    <row r="1218" spans="1:11">
      <c r="A1218" s="208"/>
      <c r="B1218" s="209" t="s">
        <v>3831</v>
      </c>
      <c r="C1218" s="211" t="s">
        <v>2581</v>
      </c>
      <c r="D1218" s="212">
        <v>11.26</v>
      </c>
      <c r="E1218" s="212">
        <v>1.99</v>
      </c>
      <c r="F1218" s="212" t="s">
        <v>2353</v>
      </c>
      <c r="G1218" s="209"/>
      <c r="H1218" s="215"/>
      <c r="I1218" s="209"/>
      <c r="J1218" s="209"/>
      <c r="K1218" s="209"/>
    </row>
    <row r="1219" spans="1:11">
      <c r="A1219" s="208"/>
      <c r="B1219" s="209" t="s">
        <v>3831</v>
      </c>
      <c r="C1219" s="211" t="s">
        <v>2582</v>
      </c>
      <c r="D1219" s="212">
        <v>12.07</v>
      </c>
      <c r="E1219" s="212">
        <v>2.29</v>
      </c>
      <c r="F1219" s="212" t="s">
        <v>2370</v>
      </c>
      <c r="G1219" s="209"/>
      <c r="I1219" s="212"/>
      <c r="J1219" s="212"/>
      <c r="K1219" s="212"/>
    </row>
    <row r="1220" spans="1:11">
      <c r="A1220" s="208"/>
      <c r="B1220" s="209" t="s">
        <v>3831</v>
      </c>
      <c r="C1220" s="211" t="s">
        <v>2583</v>
      </c>
      <c r="D1220" s="209" t="s">
        <v>1238</v>
      </c>
      <c r="E1220" s="212">
        <v>2.3199999999999998</v>
      </c>
      <c r="F1220" s="212" t="s">
        <v>326</v>
      </c>
      <c r="G1220" s="209"/>
      <c r="H1220" s="215"/>
      <c r="I1220" s="212"/>
      <c r="J1220" s="212"/>
      <c r="K1220" s="212"/>
    </row>
    <row r="1221" spans="1:11">
      <c r="A1221" s="208"/>
      <c r="B1221" s="209" t="s">
        <v>3831</v>
      </c>
      <c r="C1221" s="211" t="s">
        <v>2584</v>
      </c>
      <c r="D1221" s="212">
        <v>13.51</v>
      </c>
      <c r="E1221" s="212">
        <v>2.0099999999999998</v>
      </c>
      <c r="F1221" s="212" t="s">
        <v>2341</v>
      </c>
      <c r="G1221" s="209"/>
      <c r="I1221" s="212"/>
      <c r="J1221" s="212"/>
      <c r="K1221" s="212"/>
    </row>
    <row r="1222" spans="1:11">
      <c r="A1222" s="208"/>
      <c r="B1222" s="209" t="s">
        <v>3831</v>
      </c>
      <c r="C1222" s="211" t="s">
        <v>2585</v>
      </c>
      <c r="D1222" s="212">
        <v>14.78</v>
      </c>
      <c r="E1222" s="212">
        <v>2.1800000000000002</v>
      </c>
      <c r="F1222" s="212" t="s">
        <v>353</v>
      </c>
      <c r="G1222" s="209"/>
      <c r="I1222" s="212"/>
      <c r="J1222" s="212"/>
      <c r="K1222" s="212"/>
    </row>
    <row r="1223" spans="1:11">
      <c r="A1223" s="208"/>
      <c r="B1223" s="209" t="s">
        <v>3831</v>
      </c>
      <c r="C1223" s="211" t="s">
        <v>2586</v>
      </c>
      <c r="D1223" s="212">
        <v>16.03</v>
      </c>
      <c r="E1223" s="212">
        <v>2.2200000000000002</v>
      </c>
      <c r="F1223" s="212" t="s">
        <v>341</v>
      </c>
      <c r="G1223" s="209"/>
      <c r="H1223" s="215"/>
      <c r="I1223" s="212"/>
      <c r="J1223" s="212"/>
      <c r="K1223" s="212"/>
    </row>
    <row r="1224" spans="1:11">
      <c r="A1224" s="208"/>
      <c r="B1224" s="209" t="s">
        <v>3831</v>
      </c>
      <c r="C1224" s="211" t="s">
        <v>2587</v>
      </c>
      <c r="D1224" s="212">
        <v>17.07</v>
      </c>
      <c r="E1224" s="212">
        <v>2.39</v>
      </c>
      <c r="F1224" s="209" t="s">
        <v>2343</v>
      </c>
      <c r="G1224" s="209"/>
      <c r="I1224" s="212"/>
      <c r="J1224" s="212"/>
      <c r="K1224" s="212"/>
    </row>
    <row r="1225" spans="1:11">
      <c r="A1225" s="208"/>
      <c r="B1225" s="209" t="s">
        <v>3831</v>
      </c>
      <c r="C1225" s="211" t="s">
        <v>2588</v>
      </c>
      <c r="D1225" s="212">
        <v>19.91</v>
      </c>
      <c r="E1225" s="212">
        <v>2.95</v>
      </c>
      <c r="F1225" s="209" t="s">
        <v>2348</v>
      </c>
      <c r="G1225" s="209"/>
      <c r="H1225" s="215"/>
      <c r="I1225" s="212"/>
      <c r="J1225" s="212"/>
      <c r="K1225" s="212"/>
    </row>
    <row r="1226" spans="1:11">
      <c r="A1226" s="208"/>
      <c r="B1226" s="209" t="s">
        <v>3831</v>
      </c>
      <c r="C1226" s="211" t="s">
        <v>2589</v>
      </c>
      <c r="D1226" s="212">
        <v>20.57</v>
      </c>
      <c r="E1226" s="212">
        <v>2.76</v>
      </c>
      <c r="F1226" s="212" t="s">
        <v>2377</v>
      </c>
      <c r="G1226" s="212"/>
      <c r="I1226" s="209"/>
      <c r="J1226" s="209"/>
      <c r="K1226" s="209"/>
    </row>
    <row r="1227" spans="1:11">
      <c r="A1227" s="208"/>
      <c r="B1227" s="209" t="s">
        <v>3831</v>
      </c>
      <c r="C1227" s="211" t="s">
        <v>2590</v>
      </c>
      <c r="D1227" s="212">
        <v>11.28</v>
      </c>
      <c r="E1227" s="212">
        <v>1.6</v>
      </c>
      <c r="F1227" s="212" t="s">
        <v>3560</v>
      </c>
      <c r="G1227" s="209"/>
      <c r="H1227" s="215"/>
      <c r="I1227" s="209"/>
      <c r="J1227" s="209"/>
      <c r="K1227" s="209"/>
    </row>
    <row r="1228" spans="1:11">
      <c r="A1228" s="208"/>
      <c r="B1228" s="209" t="s">
        <v>3832</v>
      </c>
      <c r="C1228" s="211" t="s">
        <v>2594</v>
      </c>
      <c r="D1228" s="212">
        <v>9.5</v>
      </c>
      <c r="E1228" s="212">
        <v>1.63</v>
      </c>
      <c r="F1228" s="209" t="s">
        <v>2341</v>
      </c>
      <c r="G1228" s="209"/>
      <c r="H1228" s="215"/>
      <c r="I1228" s="209"/>
      <c r="J1228" s="209"/>
      <c r="K1228" s="209"/>
    </row>
    <row r="1229" spans="1:11">
      <c r="A1229" s="208"/>
      <c r="B1229" s="209" t="s">
        <v>3832</v>
      </c>
      <c r="C1229" s="211" t="s">
        <v>2595</v>
      </c>
      <c r="D1229" s="209" t="s">
        <v>2064</v>
      </c>
      <c r="E1229" s="212">
        <v>1.64</v>
      </c>
      <c r="F1229" s="209" t="s">
        <v>3539</v>
      </c>
      <c r="G1229" s="212"/>
      <c r="H1229" s="215"/>
      <c r="I1229" s="212"/>
      <c r="J1229" s="212"/>
      <c r="K1229" s="212"/>
    </row>
    <row r="1230" spans="1:11">
      <c r="A1230" s="208"/>
      <c r="B1230" s="209" t="s">
        <v>3832</v>
      </c>
      <c r="C1230" s="211" t="s">
        <v>2596</v>
      </c>
      <c r="D1230" s="212">
        <v>7.01</v>
      </c>
      <c r="E1230" s="212">
        <v>1.17</v>
      </c>
      <c r="F1230" s="212" t="s">
        <v>3510</v>
      </c>
      <c r="G1230" s="209"/>
      <c r="H1230" s="215"/>
      <c r="I1230" s="209"/>
      <c r="J1230" s="209"/>
      <c r="K1230" s="209"/>
    </row>
    <row r="1231" spans="1:11">
      <c r="A1231" s="208"/>
      <c r="B1231" s="209" t="s">
        <v>3833</v>
      </c>
      <c r="C1231" s="211" t="s">
        <v>2597</v>
      </c>
      <c r="D1231" s="212">
        <v>6.2</v>
      </c>
      <c r="E1231" s="209" t="s">
        <v>305</v>
      </c>
      <c r="F1231" s="212" t="s">
        <v>2980</v>
      </c>
      <c r="G1231" s="212"/>
      <c r="H1231" s="215"/>
      <c r="I1231" s="209"/>
      <c r="J1231" s="209"/>
      <c r="K1231" s="209"/>
    </row>
    <row r="1232" spans="1:11">
      <c r="A1232" s="208"/>
      <c r="B1232" s="209" t="s">
        <v>3833</v>
      </c>
      <c r="C1232" s="211" t="s">
        <v>2598</v>
      </c>
      <c r="D1232" s="209" t="s">
        <v>1240</v>
      </c>
      <c r="E1232" s="212">
        <v>1.62</v>
      </c>
      <c r="F1232" s="212" t="s">
        <v>2340</v>
      </c>
      <c r="G1232" s="209"/>
      <c r="H1232" s="215"/>
      <c r="I1232" s="212"/>
      <c r="J1232" s="212"/>
      <c r="K1232" s="212"/>
    </row>
    <row r="1233" spans="1:11">
      <c r="A1233" s="208"/>
      <c r="B1233" s="209" t="s">
        <v>3833</v>
      </c>
      <c r="C1233" s="211" t="s">
        <v>2599</v>
      </c>
      <c r="D1233" s="212">
        <v>8.09</v>
      </c>
      <c r="E1233" s="212">
        <v>1.52</v>
      </c>
      <c r="F1233" s="212" t="s">
        <v>2340</v>
      </c>
      <c r="G1233" s="209"/>
      <c r="H1233" s="215"/>
      <c r="I1233" s="212"/>
      <c r="J1233" s="212"/>
      <c r="K1233" s="212"/>
    </row>
    <row r="1234" spans="1:11">
      <c r="A1234" s="208"/>
      <c r="B1234" s="209" t="s">
        <v>3833</v>
      </c>
      <c r="C1234" s="211" t="s">
        <v>2600</v>
      </c>
      <c r="D1234" s="212">
        <v>9.94</v>
      </c>
      <c r="E1234" s="212">
        <v>1.88</v>
      </c>
      <c r="F1234" s="209" t="s">
        <v>2341</v>
      </c>
      <c r="G1234" s="212"/>
      <c r="I1234" s="212"/>
      <c r="J1234" s="212"/>
      <c r="K1234" s="212"/>
    </row>
    <row r="1235" spans="1:11">
      <c r="A1235" s="208"/>
      <c r="B1235" s="209" t="s">
        <v>3834</v>
      </c>
      <c r="C1235" s="211" t="s">
        <v>2601</v>
      </c>
      <c r="D1235" s="212">
        <v>7.97</v>
      </c>
      <c r="E1235" s="212">
        <v>1.22</v>
      </c>
      <c r="F1235" s="212" t="s">
        <v>2350</v>
      </c>
      <c r="G1235" s="212"/>
      <c r="I1235" s="212"/>
      <c r="J1235" s="212"/>
      <c r="K1235" s="212"/>
    </row>
    <row r="1236" spans="1:11">
      <c r="A1236" s="208"/>
      <c r="B1236" s="209" t="s">
        <v>3834</v>
      </c>
      <c r="C1236" s="211" t="s">
        <v>2602</v>
      </c>
      <c r="D1236" s="212">
        <v>11.96</v>
      </c>
      <c r="E1236" s="212">
        <v>1.4</v>
      </c>
      <c r="F1236" s="212" t="s">
        <v>2355</v>
      </c>
      <c r="G1236" s="209"/>
      <c r="I1236" s="212"/>
      <c r="J1236" s="212"/>
      <c r="K1236" s="212"/>
    </row>
    <row r="1237" spans="1:11">
      <c r="A1237" s="208"/>
      <c r="B1237" s="209" t="s">
        <v>3834</v>
      </c>
      <c r="C1237" s="211" t="s">
        <v>2603</v>
      </c>
      <c r="D1237" s="212">
        <v>9.1199999999999992</v>
      </c>
      <c r="E1237" s="212">
        <v>1.75</v>
      </c>
      <c r="F1237" s="212" t="s">
        <v>326</v>
      </c>
      <c r="G1237" s="212"/>
      <c r="H1237" s="215"/>
      <c r="I1237" s="212"/>
      <c r="J1237" s="212"/>
      <c r="K1237" s="212"/>
    </row>
    <row r="1238" spans="1:11">
      <c r="A1238" s="208"/>
      <c r="B1238" s="209" t="s">
        <v>3835</v>
      </c>
      <c r="C1238" s="211" t="s">
        <v>2604</v>
      </c>
      <c r="D1238" s="212">
        <v>10</v>
      </c>
      <c r="E1238" s="212">
        <v>2.11</v>
      </c>
      <c r="F1238" s="212" t="s">
        <v>321</v>
      </c>
      <c r="G1238" s="212"/>
      <c r="I1238" s="209"/>
      <c r="J1238" s="209"/>
      <c r="K1238" s="209"/>
    </row>
    <row r="1239" spans="1:11">
      <c r="A1239" s="208"/>
      <c r="B1239" s="209" t="s">
        <v>3835</v>
      </c>
      <c r="C1239" s="211" t="s">
        <v>2605</v>
      </c>
      <c r="D1239" s="212">
        <v>12.2</v>
      </c>
      <c r="E1239" s="212">
        <v>2.36</v>
      </c>
      <c r="F1239" s="212" t="s">
        <v>321</v>
      </c>
      <c r="G1239" s="209"/>
      <c r="I1239" s="209"/>
      <c r="J1239" s="209"/>
      <c r="K1239" s="209"/>
    </row>
    <row r="1240" spans="1:11">
      <c r="A1240" s="208"/>
      <c r="B1240" s="209" t="s">
        <v>3835</v>
      </c>
      <c r="C1240" s="211" t="s">
        <v>2606</v>
      </c>
      <c r="D1240" s="212">
        <v>14.3</v>
      </c>
      <c r="E1240" s="212">
        <v>2.78</v>
      </c>
      <c r="F1240" s="212" t="s">
        <v>321</v>
      </c>
      <c r="G1240" s="209"/>
      <c r="H1240" s="215"/>
      <c r="I1240" s="209"/>
      <c r="J1240" s="209"/>
      <c r="K1240" s="209"/>
    </row>
    <row r="1241" spans="1:11">
      <c r="A1241" s="208"/>
      <c r="B1241" s="209" t="s">
        <v>3836</v>
      </c>
      <c r="C1241" s="211" t="s">
        <v>2609</v>
      </c>
      <c r="D1241" s="212">
        <v>8.5</v>
      </c>
      <c r="E1241" s="212">
        <v>1.75</v>
      </c>
      <c r="F1241" s="209" t="s">
        <v>341</v>
      </c>
      <c r="G1241" s="212"/>
      <c r="H1241" s="215"/>
      <c r="I1241" s="209"/>
      <c r="J1241" s="209"/>
      <c r="K1241" s="209"/>
    </row>
    <row r="1242" spans="1:11">
      <c r="A1242" s="208"/>
      <c r="B1242" s="209" t="s">
        <v>3836</v>
      </c>
      <c r="C1242" s="211" t="s">
        <v>2610</v>
      </c>
      <c r="D1242" s="212">
        <v>10.5</v>
      </c>
      <c r="E1242" s="212">
        <v>2.8</v>
      </c>
      <c r="F1242" s="209" t="s">
        <v>311</v>
      </c>
      <c r="G1242" s="209"/>
      <c r="H1242" s="215"/>
      <c r="I1242" s="212"/>
      <c r="J1242" s="212"/>
      <c r="K1242" s="212"/>
    </row>
    <row r="1243" spans="1:11">
      <c r="A1243" s="208"/>
      <c r="B1243" s="209" t="s">
        <v>3836</v>
      </c>
      <c r="C1243" s="211" t="s">
        <v>442</v>
      </c>
      <c r="D1243" s="209" t="s">
        <v>1291</v>
      </c>
      <c r="E1243" s="209" t="s">
        <v>1678</v>
      </c>
      <c r="F1243" s="209" t="s">
        <v>2346</v>
      </c>
      <c r="G1243" s="209"/>
      <c r="H1243" s="215"/>
      <c r="I1243" s="212"/>
      <c r="J1243" s="212"/>
      <c r="K1243" s="212"/>
    </row>
    <row r="1244" spans="1:11">
      <c r="A1244" s="208"/>
      <c r="B1244" s="209" t="s">
        <v>3836</v>
      </c>
      <c r="C1244" s="211" t="s">
        <v>583</v>
      </c>
      <c r="D1244" s="209" t="s">
        <v>584</v>
      </c>
      <c r="E1244" s="209" t="s">
        <v>585</v>
      </c>
      <c r="F1244" s="209" t="s">
        <v>1113</v>
      </c>
      <c r="G1244" s="209"/>
      <c r="H1244" s="215"/>
      <c r="I1244" s="209"/>
      <c r="J1244" s="209"/>
      <c r="K1244" s="209"/>
    </row>
    <row r="1245" spans="1:11">
      <c r="A1245" s="208"/>
      <c r="B1245" s="209" t="s">
        <v>3836</v>
      </c>
      <c r="C1245" s="211" t="s">
        <v>4631</v>
      </c>
      <c r="D1245" s="209" t="s">
        <v>4632</v>
      </c>
      <c r="E1245" s="209" t="s">
        <v>4633</v>
      </c>
      <c r="F1245" s="209" t="s">
        <v>2083</v>
      </c>
      <c r="G1245" s="212"/>
      <c r="H1245" s="215"/>
      <c r="I1245" s="212"/>
      <c r="J1245" s="212"/>
      <c r="K1245" s="212"/>
    </row>
    <row r="1246" spans="1:11">
      <c r="A1246" s="208"/>
      <c r="B1246" s="209" t="s">
        <v>3836</v>
      </c>
      <c r="C1246" s="211" t="s">
        <v>5597</v>
      </c>
      <c r="D1246" s="209" t="s">
        <v>5598</v>
      </c>
      <c r="E1246" s="209" t="s">
        <v>5599</v>
      </c>
      <c r="F1246" s="209" t="s">
        <v>5419</v>
      </c>
      <c r="G1246" s="212"/>
      <c r="I1246" s="212"/>
      <c r="J1246" s="212"/>
      <c r="K1246" s="212"/>
    </row>
    <row r="1247" spans="1:11">
      <c r="A1247" s="208"/>
      <c r="B1247" s="209" t="s">
        <v>3837</v>
      </c>
      <c r="C1247" s="211" t="s">
        <v>2612</v>
      </c>
      <c r="D1247" s="212">
        <v>7.65</v>
      </c>
      <c r="E1247" s="212">
        <v>1.83</v>
      </c>
      <c r="F1247" s="212" t="s">
        <v>2341</v>
      </c>
      <c r="G1247" s="209"/>
      <c r="I1247" s="212"/>
      <c r="J1247" s="212"/>
      <c r="K1247" s="212"/>
    </row>
    <row r="1248" spans="1:11">
      <c r="A1248" s="208"/>
      <c r="B1248" s="209" t="s">
        <v>3837</v>
      </c>
      <c r="C1248" s="211" t="s">
        <v>2613</v>
      </c>
      <c r="D1248" s="212">
        <v>8.5399999999999991</v>
      </c>
      <c r="E1248" s="212">
        <v>1.96</v>
      </c>
      <c r="F1248" s="212" t="s">
        <v>353</v>
      </c>
      <c r="G1248" s="212"/>
      <c r="I1248" s="212"/>
      <c r="J1248" s="212"/>
      <c r="K1248" s="212"/>
    </row>
    <row r="1249" spans="1:11">
      <c r="A1249" s="208"/>
      <c r="B1249" s="209" t="s">
        <v>3838</v>
      </c>
      <c r="C1249" s="211" t="s">
        <v>2615</v>
      </c>
      <c r="D1249" s="212">
        <v>11.58</v>
      </c>
      <c r="E1249" s="212">
        <v>2.2999999999999998</v>
      </c>
      <c r="F1249" s="212" t="s">
        <v>341</v>
      </c>
      <c r="G1249" s="209"/>
      <c r="I1249" s="209"/>
      <c r="J1249" s="209"/>
      <c r="K1249" s="209"/>
    </row>
    <row r="1250" spans="1:11">
      <c r="A1250" s="208"/>
      <c r="B1250" s="209" t="s">
        <v>3838</v>
      </c>
      <c r="C1250" s="211" t="s">
        <v>2616</v>
      </c>
      <c r="D1250" s="212">
        <v>12.86</v>
      </c>
      <c r="E1250" s="212">
        <v>2.63</v>
      </c>
      <c r="F1250" s="209" t="s">
        <v>2362</v>
      </c>
      <c r="G1250" s="209"/>
      <c r="H1250" s="215"/>
      <c r="I1250" s="212"/>
      <c r="J1250" s="212"/>
      <c r="K1250" s="212"/>
    </row>
    <row r="1251" spans="1:11">
      <c r="A1251" s="208"/>
      <c r="B1251" s="209" t="s">
        <v>3840</v>
      </c>
      <c r="C1251" s="211" t="s">
        <v>1784</v>
      </c>
      <c r="D1251" s="212">
        <v>8.43</v>
      </c>
      <c r="E1251" s="212">
        <v>1.74</v>
      </c>
      <c r="F1251" s="212" t="s">
        <v>2339</v>
      </c>
      <c r="G1251" s="212"/>
      <c r="H1251" s="215"/>
      <c r="I1251" s="209"/>
      <c r="J1251" s="209"/>
      <c r="K1251" s="209"/>
    </row>
    <row r="1252" spans="1:11">
      <c r="A1252" s="208"/>
      <c r="B1252" s="209" t="s">
        <v>3840</v>
      </c>
      <c r="C1252" s="211" t="s">
        <v>1785</v>
      </c>
      <c r="D1252" s="212">
        <v>11.58</v>
      </c>
      <c r="E1252" s="212">
        <v>2.2999999999999998</v>
      </c>
      <c r="F1252" s="212" t="s">
        <v>341</v>
      </c>
      <c r="G1252" s="209"/>
      <c r="I1252" s="209"/>
      <c r="J1252" s="209"/>
      <c r="K1252" s="209"/>
    </row>
    <row r="1253" spans="1:11">
      <c r="A1253" s="208"/>
      <c r="B1253" s="209" t="s">
        <v>3841</v>
      </c>
      <c r="C1253" s="211" t="s">
        <v>1788</v>
      </c>
      <c r="D1253" s="209" t="s">
        <v>2085</v>
      </c>
      <c r="E1253" s="212">
        <v>1.42</v>
      </c>
      <c r="F1253" s="212" t="s">
        <v>2350</v>
      </c>
      <c r="G1253" s="212"/>
      <c r="H1253" s="215"/>
      <c r="I1253" s="209"/>
      <c r="J1253" s="209"/>
      <c r="K1253" s="209"/>
    </row>
    <row r="1254" spans="1:11">
      <c r="A1254" s="208"/>
      <c r="B1254" s="209" t="s">
        <v>3841</v>
      </c>
      <c r="C1254" s="211" t="s">
        <v>1789</v>
      </c>
      <c r="D1254" s="212">
        <v>10.93</v>
      </c>
      <c r="E1254" s="209" t="s">
        <v>305</v>
      </c>
      <c r="F1254" s="212" t="s">
        <v>2353</v>
      </c>
      <c r="G1254" s="209"/>
      <c r="H1254" s="215"/>
      <c r="I1254" s="209"/>
      <c r="J1254" s="209"/>
      <c r="K1254" s="209"/>
    </row>
    <row r="1255" spans="1:11">
      <c r="A1255" s="208"/>
      <c r="B1255" s="209" t="s">
        <v>3841</v>
      </c>
      <c r="C1255" s="211" t="s">
        <v>1790</v>
      </c>
      <c r="D1255" s="212">
        <v>10.93</v>
      </c>
      <c r="E1255" s="212">
        <v>1.6</v>
      </c>
      <c r="F1255" s="212" t="s">
        <v>2353</v>
      </c>
      <c r="G1255" s="212"/>
      <c r="H1255" s="215"/>
      <c r="I1255" s="209"/>
      <c r="J1255" s="209"/>
      <c r="K1255" s="209"/>
    </row>
    <row r="1256" spans="1:11">
      <c r="A1256" s="208"/>
      <c r="B1256" s="209" t="s">
        <v>3841</v>
      </c>
      <c r="C1256" s="211" t="s">
        <v>1791</v>
      </c>
      <c r="D1256" s="212">
        <v>11.45</v>
      </c>
      <c r="E1256" s="212">
        <v>1.62</v>
      </c>
      <c r="F1256" s="212" t="s">
        <v>327</v>
      </c>
      <c r="G1256" s="212"/>
      <c r="H1256" s="215"/>
      <c r="I1256" s="209"/>
      <c r="J1256" s="209"/>
      <c r="K1256" s="209"/>
    </row>
    <row r="1257" spans="1:11">
      <c r="A1257" s="208"/>
      <c r="B1257" s="209" t="s">
        <v>3841</v>
      </c>
      <c r="C1257" s="211" t="s">
        <v>1792</v>
      </c>
      <c r="D1257" s="212">
        <v>12.5</v>
      </c>
      <c r="E1257" s="212">
        <v>1.8</v>
      </c>
      <c r="F1257" s="212" t="s">
        <v>2357</v>
      </c>
      <c r="G1257" s="212"/>
      <c r="I1257" s="209"/>
      <c r="J1257" s="209"/>
      <c r="K1257" s="209"/>
    </row>
    <row r="1258" spans="1:11">
      <c r="A1258" s="208"/>
      <c r="B1258" s="209" t="s">
        <v>2234</v>
      </c>
      <c r="C1258" s="211" t="s">
        <v>1793</v>
      </c>
      <c r="D1258" s="212">
        <v>7.48</v>
      </c>
      <c r="E1258" s="212">
        <v>1.65</v>
      </c>
      <c r="F1258" s="212" t="s">
        <v>2345</v>
      </c>
      <c r="G1258" s="212"/>
      <c r="H1258" s="215"/>
      <c r="I1258" s="212"/>
      <c r="J1258" s="212"/>
      <c r="K1258" s="212"/>
    </row>
    <row r="1259" spans="1:11">
      <c r="A1259" s="208"/>
      <c r="B1259" s="209" t="s">
        <v>2234</v>
      </c>
      <c r="C1259" s="211" t="s">
        <v>3914</v>
      </c>
      <c r="D1259" s="212">
        <v>9.5500000000000007</v>
      </c>
      <c r="E1259" s="212">
        <v>1.65</v>
      </c>
      <c r="F1259" s="212" t="s">
        <v>343</v>
      </c>
      <c r="G1259" s="212"/>
      <c r="I1259" s="209"/>
      <c r="J1259" s="209"/>
      <c r="K1259" s="209"/>
    </row>
    <row r="1260" spans="1:11">
      <c r="A1260" s="208"/>
      <c r="B1260" s="209" t="s">
        <v>2234</v>
      </c>
      <c r="C1260" s="211" t="s">
        <v>5618</v>
      </c>
      <c r="D1260" s="212">
        <v>9.5500000000000007</v>
      </c>
      <c r="E1260" s="212" t="s">
        <v>407</v>
      </c>
      <c r="F1260" s="212" t="s">
        <v>343</v>
      </c>
      <c r="G1260" s="212"/>
      <c r="I1260" s="209"/>
      <c r="J1260" s="209"/>
      <c r="K1260" s="209"/>
    </row>
    <row r="1261" spans="1:11">
      <c r="A1261" s="208"/>
      <c r="B1261" s="209" t="s">
        <v>2234</v>
      </c>
      <c r="C1261" s="211" t="s">
        <v>1794</v>
      </c>
      <c r="D1261" s="212">
        <v>9.59</v>
      </c>
      <c r="E1261" s="212">
        <v>1.9</v>
      </c>
      <c r="F1261" s="209" t="s">
        <v>2345</v>
      </c>
      <c r="G1261" s="212"/>
      <c r="I1261" s="209"/>
      <c r="J1261" s="209"/>
      <c r="K1261" s="209"/>
    </row>
    <row r="1262" spans="1:11">
      <c r="A1262" s="208"/>
      <c r="B1262" s="209" t="s">
        <v>3842</v>
      </c>
      <c r="C1262" s="211" t="s">
        <v>1795</v>
      </c>
      <c r="D1262" s="212">
        <v>7.3</v>
      </c>
      <c r="E1262" s="212">
        <v>1.45</v>
      </c>
      <c r="F1262" s="212" t="s">
        <v>2355</v>
      </c>
      <c r="G1262" s="209"/>
      <c r="I1262" s="209"/>
      <c r="J1262" s="209"/>
      <c r="K1262" s="209"/>
    </row>
    <row r="1263" spans="1:11">
      <c r="A1263" s="208"/>
      <c r="B1263" s="209" t="s">
        <v>3842</v>
      </c>
      <c r="C1263" s="211" t="s">
        <v>3916</v>
      </c>
      <c r="D1263" s="212">
        <v>7.56</v>
      </c>
      <c r="E1263" s="212">
        <v>1.1000000000000001</v>
      </c>
      <c r="F1263" s="212" t="s">
        <v>2355</v>
      </c>
      <c r="G1263" s="209"/>
      <c r="I1263" s="209"/>
      <c r="J1263" s="209"/>
      <c r="K1263" s="209"/>
    </row>
    <row r="1264" spans="1:11">
      <c r="A1264" s="208"/>
      <c r="B1264" s="209" t="s">
        <v>3842</v>
      </c>
      <c r="C1264" s="211" t="s">
        <v>3915</v>
      </c>
      <c r="D1264" s="212">
        <v>7.56</v>
      </c>
      <c r="E1264" s="212">
        <v>1.55</v>
      </c>
      <c r="F1264" s="212" t="s">
        <v>2355</v>
      </c>
      <c r="G1264" s="209"/>
      <c r="I1264" s="212"/>
      <c r="J1264" s="212"/>
      <c r="K1264" s="212"/>
    </row>
    <row r="1265" spans="1:11">
      <c r="A1265" s="208"/>
      <c r="B1265" s="209" t="s">
        <v>3843</v>
      </c>
      <c r="C1265" s="211" t="s">
        <v>1800</v>
      </c>
      <c r="D1265" s="209" t="s">
        <v>1243</v>
      </c>
      <c r="E1265" s="212">
        <v>2.33</v>
      </c>
      <c r="F1265" s="212" t="s">
        <v>329</v>
      </c>
      <c r="G1265" s="212"/>
      <c r="I1265" s="209"/>
      <c r="J1265" s="209"/>
      <c r="K1265" s="209"/>
    </row>
    <row r="1266" spans="1:11">
      <c r="A1266" s="208"/>
      <c r="B1266" s="209" t="s">
        <v>3843</v>
      </c>
      <c r="C1266" s="211" t="s">
        <v>1801</v>
      </c>
      <c r="D1266" s="212">
        <v>7.8</v>
      </c>
      <c r="E1266" s="212">
        <v>1.43</v>
      </c>
      <c r="F1266" s="212" t="s">
        <v>2370</v>
      </c>
      <c r="G1266" s="209"/>
      <c r="H1266" s="215"/>
      <c r="I1266" s="209"/>
      <c r="J1266" s="209"/>
      <c r="K1266" s="209"/>
    </row>
    <row r="1267" spans="1:11">
      <c r="A1267" s="208"/>
      <c r="B1267" s="209" t="s">
        <v>3843</v>
      </c>
      <c r="C1267" s="211" t="s">
        <v>3917</v>
      </c>
      <c r="D1267" s="209" t="s">
        <v>1244</v>
      </c>
      <c r="E1267" s="212">
        <v>1.88</v>
      </c>
      <c r="F1267" s="212" t="s">
        <v>3508</v>
      </c>
      <c r="G1267" s="209"/>
      <c r="I1267" s="209"/>
      <c r="J1267" s="209"/>
      <c r="K1267" s="209"/>
    </row>
    <row r="1268" spans="1:11">
      <c r="A1268" s="208"/>
      <c r="B1268" s="209" t="s">
        <v>3844</v>
      </c>
      <c r="C1268" s="211" t="s">
        <v>1803</v>
      </c>
      <c r="D1268" s="212">
        <v>7.09</v>
      </c>
      <c r="E1268" s="212">
        <v>1.47</v>
      </c>
      <c r="F1268" s="212" t="s">
        <v>3530</v>
      </c>
      <c r="G1268" s="212"/>
      <c r="I1268" s="209"/>
      <c r="J1268" s="209"/>
      <c r="K1268" s="209"/>
    </row>
    <row r="1269" spans="1:11">
      <c r="A1269" s="208"/>
      <c r="B1269" s="209" t="s">
        <v>3844</v>
      </c>
      <c r="C1269" s="211" t="s">
        <v>1804</v>
      </c>
      <c r="D1269" s="212">
        <v>8.5</v>
      </c>
      <c r="E1269" s="212">
        <v>1.5</v>
      </c>
      <c r="F1269" s="212" t="s">
        <v>2353</v>
      </c>
      <c r="G1269" s="212"/>
      <c r="I1269" s="209"/>
      <c r="J1269" s="209"/>
      <c r="K1269" s="209"/>
    </row>
    <row r="1270" spans="1:11">
      <c r="A1270" s="208"/>
      <c r="B1270" s="209" t="s">
        <v>3845</v>
      </c>
      <c r="C1270" s="211" t="s">
        <v>1806</v>
      </c>
      <c r="D1270" s="212">
        <v>7.44</v>
      </c>
      <c r="E1270" s="212">
        <v>1.5</v>
      </c>
      <c r="F1270" s="209" t="s">
        <v>2348</v>
      </c>
      <c r="G1270" s="212"/>
      <c r="I1270" s="209"/>
      <c r="J1270" s="209"/>
      <c r="K1270" s="209"/>
    </row>
    <row r="1271" spans="1:11">
      <c r="A1271" s="208"/>
      <c r="B1271" s="209" t="s">
        <v>3845</v>
      </c>
      <c r="C1271" s="211" t="s">
        <v>1807</v>
      </c>
      <c r="D1271" s="212">
        <v>10.72</v>
      </c>
      <c r="E1271" s="212">
        <v>1.68</v>
      </c>
      <c r="F1271" s="212" t="s">
        <v>2370</v>
      </c>
      <c r="G1271" s="212"/>
      <c r="I1271" s="209"/>
      <c r="J1271" s="209"/>
      <c r="K1271" s="209"/>
    </row>
    <row r="1272" spans="1:11">
      <c r="A1272" s="208"/>
      <c r="B1272" s="209" t="s">
        <v>3845</v>
      </c>
      <c r="C1272" s="211" t="s">
        <v>1808</v>
      </c>
      <c r="D1272" s="212">
        <v>12.81</v>
      </c>
      <c r="E1272" s="212">
        <v>1.89</v>
      </c>
      <c r="F1272" s="212" t="s">
        <v>2344</v>
      </c>
      <c r="G1272" s="212"/>
      <c r="H1272" s="215"/>
      <c r="I1272" s="209"/>
      <c r="J1272" s="209"/>
      <c r="K1272" s="209"/>
    </row>
    <row r="1273" spans="1:11">
      <c r="A1273" s="208"/>
      <c r="B1273" s="209" t="s">
        <v>3846</v>
      </c>
      <c r="C1273" s="211" t="s">
        <v>1809</v>
      </c>
      <c r="D1273" s="212">
        <v>9.2200000000000006</v>
      </c>
      <c r="E1273" s="212">
        <v>1.63</v>
      </c>
      <c r="F1273" s="212" t="s">
        <v>2350</v>
      </c>
      <c r="G1273" s="212"/>
      <c r="I1273" s="209"/>
      <c r="J1273" s="209"/>
      <c r="K1273" s="209"/>
    </row>
    <row r="1274" spans="1:11">
      <c r="A1274" s="208"/>
      <c r="B1274" s="209" t="s">
        <v>3846</v>
      </c>
      <c r="C1274" s="211" t="s">
        <v>1810</v>
      </c>
      <c r="D1274" s="212">
        <v>9.75</v>
      </c>
      <c r="E1274" s="212">
        <v>2.8</v>
      </c>
      <c r="F1274" s="212" t="s">
        <v>2343</v>
      </c>
      <c r="G1274" s="209"/>
      <c r="I1274" s="212"/>
      <c r="J1274" s="212"/>
      <c r="K1274" s="212"/>
    </row>
    <row r="1275" spans="1:11">
      <c r="A1275" s="208"/>
      <c r="B1275" s="209" t="s">
        <v>3846</v>
      </c>
      <c r="C1275" s="211" t="s">
        <v>1811</v>
      </c>
      <c r="D1275" s="212">
        <v>10.09</v>
      </c>
      <c r="E1275" s="212">
        <v>1.92</v>
      </c>
      <c r="F1275" s="212" t="s">
        <v>313</v>
      </c>
      <c r="G1275" s="209"/>
      <c r="I1275" s="212"/>
      <c r="J1275" s="212"/>
      <c r="K1275" s="212"/>
    </row>
    <row r="1276" spans="1:11">
      <c r="A1276" s="208"/>
      <c r="B1276" s="209" t="s">
        <v>3846</v>
      </c>
      <c r="C1276" s="211" t="s">
        <v>1812</v>
      </c>
      <c r="D1276" s="212">
        <v>10.07</v>
      </c>
      <c r="E1276" s="212">
        <v>1.9</v>
      </c>
      <c r="F1276" s="212" t="s">
        <v>313</v>
      </c>
      <c r="G1276" s="209"/>
      <c r="I1276" s="209"/>
      <c r="J1276" s="209"/>
      <c r="K1276" s="209"/>
    </row>
    <row r="1277" spans="1:11">
      <c r="A1277" s="208"/>
      <c r="B1277" s="209" t="s">
        <v>3846</v>
      </c>
      <c r="C1277" s="211" t="s">
        <v>1813</v>
      </c>
      <c r="D1277" s="212">
        <v>10.82</v>
      </c>
      <c r="E1277" s="212">
        <v>1.98</v>
      </c>
      <c r="F1277" s="212" t="s">
        <v>3508</v>
      </c>
      <c r="G1277" s="209"/>
      <c r="I1277" s="209"/>
      <c r="J1277" s="209"/>
      <c r="K1277" s="209"/>
    </row>
    <row r="1278" spans="1:11">
      <c r="A1278" s="208"/>
      <c r="B1278" s="209" t="s">
        <v>3846</v>
      </c>
      <c r="C1278" s="211" t="s">
        <v>1814</v>
      </c>
      <c r="D1278" s="212">
        <v>14.34</v>
      </c>
      <c r="E1278" s="212">
        <v>1.85</v>
      </c>
      <c r="F1278" s="212" t="s">
        <v>3508</v>
      </c>
      <c r="G1278" s="212"/>
      <c r="I1278" s="209"/>
      <c r="J1278" s="209"/>
      <c r="K1278" s="209"/>
    </row>
    <row r="1279" spans="1:11">
      <c r="A1279" s="208"/>
      <c r="B1279" s="209" t="s">
        <v>3847</v>
      </c>
      <c r="C1279" s="211" t="s">
        <v>1819</v>
      </c>
      <c r="D1279" s="212">
        <v>10.41</v>
      </c>
      <c r="E1279" s="212">
        <v>1.82</v>
      </c>
      <c r="F1279" s="212" t="s">
        <v>327</v>
      </c>
      <c r="G1279" s="212"/>
      <c r="I1279" s="209"/>
      <c r="J1279" s="209"/>
      <c r="K1279" s="209"/>
    </row>
    <row r="1280" spans="1:11">
      <c r="A1280" s="208"/>
      <c r="B1280" s="209" t="s">
        <v>3847</v>
      </c>
      <c r="C1280" s="211" t="s">
        <v>1820</v>
      </c>
      <c r="D1280" s="209" t="s">
        <v>1245</v>
      </c>
      <c r="E1280" s="212">
        <v>1.98</v>
      </c>
      <c r="F1280" s="209" t="s">
        <v>2341</v>
      </c>
      <c r="G1280" s="209"/>
      <c r="I1280" s="209"/>
      <c r="J1280" s="209"/>
      <c r="K1280" s="209"/>
    </row>
    <row r="1281" spans="1:11">
      <c r="A1281" s="208"/>
      <c r="B1281" s="209" t="s">
        <v>3847</v>
      </c>
      <c r="C1281" s="211" t="s">
        <v>1821</v>
      </c>
      <c r="D1281" s="212">
        <v>11.78</v>
      </c>
      <c r="E1281" s="212">
        <v>2.08</v>
      </c>
      <c r="F1281" s="212" t="s">
        <v>3508</v>
      </c>
      <c r="G1281" s="212"/>
      <c r="I1281" s="209"/>
      <c r="J1281" s="209"/>
      <c r="K1281" s="209"/>
    </row>
    <row r="1282" spans="1:11">
      <c r="A1282" s="208"/>
      <c r="B1282" s="209" t="s">
        <v>3847</v>
      </c>
      <c r="C1282" s="211" t="s">
        <v>1822</v>
      </c>
      <c r="D1282" s="212">
        <v>11.76</v>
      </c>
      <c r="E1282" s="212">
        <v>2.08</v>
      </c>
      <c r="F1282" s="212" t="s">
        <v>321</v>
      </c>
      <c r="G1282" s="212"/>
      <c r="H1282" s="215"/>
      <c r="I1282" s="209"/>
      <c r="J1282" s="209"/>
      <c r="K1282" s="209"/>
    </row>
    <row r="1283" spans="1:11">
      <c r="A1283" s="208"/>
      <c r="B1283" s="209" t="s">
        <v>3847</v>
      </c>
      <c r="C1283" s="211" t="s">
        <v>1823</v>
      </c>
      <c r="D1283" s="212">
        <v>12.93</v>
      </c>
      <c r="E1283" s="212">
        <v>1.53</v>
      </c>
      <c r="F1283" s="212" t="s">
        <v>2341</v>
      </c>
      <c r="G1283" s="212"/>
      <c r="H1283" s="215"/>
      <c r="I1283" s="209"/>
      <c r="J1283" s="209"/>
      <c r="K1283" s="209"/>
    </row>
    <row r="1284" spans="1:11">
      <c r="A1284" s="208"/>
      <c r="B1284" s="209" t="s">
        <v>3847</v>
      </c>
      <c r="C1284" s="211" t="s">
        <v>1824</v>
      </c>
      <c r="D1284" s="209" t="s">
        <v>1218</v>
      </c>
      <c r="E1284" s="212">
        <v>2.08</v>
      </c>
      <c r="F1284" s="212" t="s">
        <v>2359</v>
      </c>
      <c r="G1284" s="212"/>
      <c r="I1284" s="209"/>
      <c r="J1284" s="209"/>
      <c r="K1284" s="209"/>
    </row>
    <row r="1285" spans="1:11">
      <c r="A1285" s="208"/>
      <c r="B1285" s="209" t="s">
        <v>3847</v>
      </c>
      <c r="C1285" s="211" t="s">
        <v>1825</v>
      </c>
      <c r="D1285" s="209" t="s">
        <v>1994</v>
      </c>
      <c r="E1285" s="209" t="s">
        <v>305</v>
      </c>
      <c r="F1285" s="212" t="s">
        <v>2377</v>
      </c>
      <c r="G1285" s="209"/>
      <c r="I1285" s="209"/>
      <c r="J1285" s="209"/>
      <c r="K1285" s="209"/>
    </row>
    <row r="1286" spans="1:11">
      <c r="A1286" s="208"/>
      <c r="B1286" s="209" t="s">
        <v>3847</v>
      </c>
      <c r="C1286" s="211" t="s">
        <v>1826</v>
      </c>
      <c r="D1286" s="209" t="s">
        <v>1246</v>
      </c>
      <c r="E1286" s="212">
        <v>2.36</v>
      </c>
      <c r="F1286" s="212" t="s">
        <v>2344</v>
      </c>
      <c r="G1286" s="212"/>
      <c r="I1286" s="209"/>
      <c r="J1286" s="209"/>
      <c r="K1286" s="209"/>
    </row>
    <row r="1287" spans="1:11">
      <c r="A1287" s="208"/>
      <c r="B1287" s="209" t="s">
        <v>3848</v>
      </c>
      <c r="C1287" s="211" t="s">
        <v>3919</v>
      </c>
      <c r="D1287" s="212">
        <v>7.32</v>
      </c>
      <c r="E1287" s="212">
        <v>1.1599999999999999</v>
      </c>
      <c r="F1287" s="212" t="s">
        <v>2357</v>
      </c>
      <c r="G1287" s="209"/>
      <c r="I1287" s="209"/>
      <c r="J1287" s="209"/>
      <c r="K1287" s="209"/>
    </row>
    <row r="1288" spans="1:11">
      <c r="A1288" s="208"/>
      <c r="B1288" s="209" t="s">
        <v>3848</v>
      </c>
      <c r="C1288" s="211" t="s">
        <v>3918</v>
      </c>
      <c r="D1288" s="212">
        <v>7.32</v>
      </c>
      <c r="E1288" s="212">
        <v>1.45</v>
      </c>
      <c r="F1288" s="212" t="s">
        <v>2357</v>
      </c>
      <c r="G1288" s="209"/>
      <c r="I1288" s="209"/>
      <c r="J1288" s="209"/>
      <c r="K1288" s="209"/>
    </row>
    <row r="1289" spans="1:11">
      <c r="A1289" s="208"/>
      <c r="B1289" s="209" t="s">
        <v>3848</v>
      </c>
      <c r="C1289" s="211" t="s">
        <v>3921</v>
      </c>
      <c r="D1289" s="209" t="s">
        <v>1247</v>
      </c>
      <c r="E1289" s="212">
        <v>1.1599999999999999</v>
      </c>
      <c r="F1289" s="212" t="s">
        <v>3508</v>
      </c>
      <c r="G1289" s="209"/>
      <c r="I1289" s="209"/>
      <c r="J1289" s="209"/>
      <c r="K1289" s="209"/>
    </row>
    <row r="1290" spans="1:11">
      <c r="A1290" s="208"/>
      <c r="B1290" s="209" t="s">
        <v>3848</v>
      </c>
      <c r="C1290" s="211" t="s">
        <v>3920</v>
      </c>
      <c r="D1290" s="209" t="s">
        <v>1247</v>
      </c>
      <c r="E1290" s="212">
        <v>1.42</v>
      </c>
      <c r="F1290" s="212" t="s">
        <v>3508</v>
      </c>
      <c r="G1290" s="209"/>
      <c r="I1290" s="209"/>
      <c r="J1290" s="209"/>
      <c r="K1290" s="209"/>
    </row>
    <row r="1291" spans="1:11">
      <c r="A1291" s="208"/>
      <c r="B1291" s="209" t="s">
        <v>3848</v>
      </c>
      <c r="C1291" s="211" t="s">
        <v>1827</v>
      </c>
      <c r="D1291" s="212">
        <v>8.67</v>
      </c>
      <c r="E1291" s="212">
        <v>1.52</v>
      </c>
      <c r="F1291" s="212" t="s">
        <v>2370</v>
      </c>
      <c r="G1291" s="209"/>
      <c r="I1291" s="209"/>
      <c r="J1291" s="209"/>
      <c r="K1291" s="209"/>
    </row>
    <row r="1292" spans="1:11">
      <c r="A1292" s="208"/>
      <c r="B1292" s="209" t="s">
        <v>3848</v>
      </c>
      <c r="C1292" s="211" t="s">
        <v>1828</v>
      </c>
      <c r="D1292" s="212">
        <v>8.89</v>
      </c>
      <c r="E1292" s="212">
        <v>1.35</v>
      </c>
      <c r="F1292" s="212" t="s">
        <v>2345</v>
      </c>
      <c r="G1292" s="209"/>
      <c r="I1292" s="209"/>
      <c r="J1292" s="209"/>
      <c r="K1292" s="209"/>
    </row>
    <row r="1293" spans="1:11">
      <c r="A1293" s="208"/>
      <c r="B1293" s="209" t="s">
        <v>3848</v>
      </c>
      <c r="C1293" s="211" t="s">
        <v>3923</v>
      </c>
      <c r="D1293" s="209" t="s">
        <v>1980</v>
      </c>
      <c r="E1293" s="212">
        <v>1.37</v>
      </c>
      <c r="F1293" s="212" t="s">
        <v>2353</v>
      </c>
      <c r="G1293" s="209"/>
      <c r="I1293" s="212"/>
      <c r="J1293" s="212"/>
      <c r="K1293" s="212"/>
    </row>
    <row r="1294" spans="1:11">
      <c r="A1294" s="208"/>
      <c r="B1294" s="209" t="s">
        <v>3848</v>
      </c>
      <c r="C1294" s="211" t="s">
        <v>3922</v>
      </c>
      <c r="D1294" s="212">
        <v>9.4499999999999993</v>
      </c>
      <c r="E1294" s="212">
        <v>1.78</v>
      </c>
      <c r="F1294" s="212" t="s">
        <v>2353</v>
      </c>
      <c r="G1294" s="212"/>
      <c r="I1294" s="209"/>
      <c r="J1294" s="209"/>
      <c r="K1294" s="209"/>
    </row>
    <row r="1295" spans="1:11">
      <c r="A1295" s="208"/>
      <c r="B1295" s="209" t="s">
        <v>3848</v>
      </c>
      <c r="C1295" s="211" t="s">
        <v>1829</v>
      </c>
      <c r="D1295" s="212">
        <v>9.4499999999999993</v>
      </c>
      <c r="E1295" s="212">
        <v>1.22</v>
      </c>
      <c r="F1295" s="212" t="s">
        <v>2353</v>
      </c>
      <c r="G1295" s="209"/>
      <c r="I1295" s="209"/>
      <c r="J1295" s="209"/>
      <c r="K1295" s="209"/>
    </row>
    <row r="1296" spans="1:11">
      <c r="A1296" s="208"/>
      <c r="B1296" s="209" t="s">
        <v>3848</v>
      </c>
      <c r="C1296" s="211" t="s">
        <v>1830</v>
      </c>
      <c r="D1296" s="212">
        <v>9.4499999999999993</v>
      </c>
      <c r="E1296" s="209" t="s">
        <v>305</v>
      </c>
      <c r="F1296" s="212" t="s">
        <v>2353</v>
      </c>
      <c r="G1296" s="209"/>
      <c r="I1296" s="209"/>
      <c r="J1296" s="209"/>
      <c r="K1296" s="209"/>
    </row>
    <row r="1297" spans="1:11">
      <c r="A1297" s="208"/>
      <c r="B1297" s="209" t="s">
        <v>3848</v>
      </c>
      <c r="C1297" s="211" t="s">
        <v>1831</v>
      </c>
      <c r="D1297" s="212">
        <v>10.62</v>
      </c>
      <c r="E1297" s="212">
        <v>1.76</v>
      </c>
      <c r="F1297" s="212" t="s">
        <v>3560</v>
      </c>
      <c r="G1297" s="209"/>
      <c r="I1297" s="209"/>
      <c r="J1297" s="209"/>
      <c r="K1297" s="209"/>
    </row>
    <row r="1298" spans="1:11">
      <c r="A1298" s="208"/>
      <c r="B1298" s="209" t="s">
        <v>3849</v>
      </c>
      <c r="C1298" s="211" t="s">
        <v>1832</v>
      </c>
      <c r="D1298" s="212">
        <v>9.93</v>
      </c>
      <c r="E1298" s="212">
        <v>2.12</v>
      </c>
      <c r="F1298" s="209" t="s">
        <v>311</v>
      </c>
      <c r="G1298" s="209"/>
      <c r="I1298" s="212"/>
      <c r="J1298" s="212"/>
      <c r="K1298" s="212"/>
    </row>
    <row r="1299" spans="1:11">
      <c r="A1299" s="208"/>
      <c r="B1299" s="209" t="s">
        <v>3849</v>
      </c>
      <c r="C1299" s="211" t="s">
        <v>443</v>
      </c>
      <c r="D1299" s="209" t="s">
        <v>444</v>
      </c>
      <c r="E1299" s="209" t="s">
        <v>445</v>
      </c>
      <c r="F1299" s="209" t="s">
        <v>3000</v>
      </c>
      <c r="G1299" s="209"/>
      <c r="I1299" s="209"/>
      <c r="J1299" s="209"/>
      <c r="K1299" s="209"/>
    </row>
    <row r="1300" spans="1:11">
      <c r="A1300" s="208"/>
      <c r="B1300" s="209" t="s">
        <v>3849</v>
      </c>
      <c r="C1300" s="211" t="s">
        <v>1833</v>
      </c>
      <c r="D1300" s="212">
        <v>11.29</v>
      </c>
      <c r="E1300" s="212">
        <v>2.2799999999999998</v>
      </c>
      <c r="F1300" s="209" t="s">
        <v>2347</v>
      </c>
      <c r="G1300" s="212"/>
      <c r="I1300" s="212"/>
      <c r="J1300" s="212"/>
      <c r="K1300" s="212"/>
    </row>
    <row r="1301" spans="1:11">
      <c r="A1301" s="208"/>
      <c r="B1301" s="209" t="s">
        <v>3849</v>
      </c>
      <c r="C1301" s="211" t="s">
        <v>1834</v>
      </c>
      <c r="D1301" s="212">
        <v>11.99</v>
      </c>
      <c r="E1301" s="212">
        <v>2.34</v>
      </c>
      <c r="F1301" s="212" t="s">
        <v>321</v>
      </c>
      <c r="G1301" s="209"/>
      <c r="H1301" s="215"/>
      <c r="I1301" s="209"/>
      <c r="J1301" s="209"/>
      <c r="K1301" s="209"/>
    </row>
    <row r="1302" spans="1:11">
      <c r="A1302" s="208"/>
      <c r="B1302" s="209" t="s">
        <v>3849</v>
      </c>
      <c r="C1302" s="211" t="s">
        <v>447</v>
      </c>
      <c r="D1302" s="212">
        <v>12.5</v>
      </c>
      <c r="E1302" s="209" t="s">
        <v>448</v>
      </c>
      <c r="F1302" s="209" t="s">
        <v>314</v>
      </c>
      <c r="G1302" s="209"/>
      <c r="I1302" s="212"/>
      <c r="J1302" s="212"/>
      <c r="K1302" s="212"/>
    </row>
    <row r="1303" spans="1:11">
      <c r="A1303" s="208" t="s">
        <v>2342</v>
      </c>
      <c r="B1303" s="209" t="s">
        <v>3849</v>
      </c>
      <c r="C1303" s="211" t="s">
        <v>446</v>
      </c>
      <c r="D1303" s="209" t="s">
        <v>1273</v>
      </c>
      <c r="E1303" s="209" t="s">
        <v>1650</v>
      </c>
      <c r="F1303" s="209" t="s">
        <v>314</v>
      </c>
      <c r="G1303" s="209"/>
      <c r="I1303" s="209"/>
      <c r="J1303" s="209"/>
      <c r="K1303" s="209"/>
    </row>
    <row r="1304" spans="1:11">
      <c r="A1304" s="208"/>
      <c r="B1304" s="209" t="s">
        <v>3849</v>
      </c>
      <c r="C1304" s="211" t="s">
        <v>1386</v>
      </c>
      <c r="D1304" s="212">
        <v>12.8</v>
      </c>
      <c r="E1304" s="212">
        <v>2.25</v>
      </c>
      <c r="F1304" s="209" t="s">
        <v>2348</v>
      </c>
      <c r="G1304" s="209"/>
      <c r="I1304" s="209"/>
      <c r="J1304" s="209"/>
      <c r="K1304" s="209"/>
    </row>
    <row r="1305" spans="1:11">
      <c r="A1305" s="208"/>
      <c r="B1305" s="209" t="s">
        <v>3849</v>
      </c>
      <c r="C1305" s="211" t="s">
        <v>1387</v>
      </c>
      <c r="D1305" s="212">
        <v>12.8</v>
      </c>
      <c r="E1305" s="212">
        <v>2.5</v>
      </c>
      <c r="F1305" s="209" t="s">
        <v>2348</v>
      </c>
      <c r="G1305" s="209"/>
      <c r="I1305" s="209"/>
      <c r="J1305" s="209"/>
      <c r="K1305" s="209"/>
    </row>
    <row r="1306" spans="1:11">
      <c r="A1306" s="208"/>
      <c r="B1306" s="209" t="s">
        <v>3849</v>
      </c>
      <c r="C1306" s="211" t="s">
        <v>1835</v>
      </c>
      <c r="D1306" s="212">
        <v>12.8</v>
      </c>
      <c r="E1306" s="212">
        <v>2.46</v>
      </c>
      <c r="F1306" s="209" t="s">
        <v>2346</v>
      </c>
      <c r="G1306" s="209"/>
      <c r="H1306" s="215"/>
      <c r="I1306" s="209"/>
      <c r="J1306" s="209"/>
      <c r="K1306" s="209"/>
    </row>
    <row r="1307" spans="1:11">
      <c r="A1307" s="208" t="s">
        <v>2342</v>
      </c>
      <c r="B1307" s="209" t="s">
        <v>3849</v>
      </c>
      <c r="C1307" s="211" t="s">
        <v>449</v>
      </c>
      <c r="D1307" s="209" t="s">
        <v>433</v>
      </c>
      <c r="E1307" s="209" t="s">
        <v>413</v>
      </c>
      <c r="F1307" s="209" t="s">
        <v>2346</v>
      </c>
      <c r="G1307" s="209"/>
      <c r="I1307" s="209"/>
      <c r="J1307" s="209"/>
      <c r="K1307" s="209"/>
    </row>
    <row r="1308" spans="1:11">
      <c r="A1308" s="208"/>
      <c r="B1308" s="209" t="s">
        <v>3849</v>
      </c>
      <c r="C1308" s="211" t="s">
        <v>1836</v>
      </c>
      <c r="D1308" s="212">
        <v>13.55</v>
      </c>
      <c r="E1308" s="212">
        <v>2.54</v>
      </c>
      <c r="F1308" s="212" t="s">
        <v>2345</v>
      </c>
      <c r="G1308" s="209"/>
      <c r="H1308" s="215"/>
      <c r="I1308" s="212"/>
      <c r="J1308" s="212"/>
      <c r="K1308" s="212"/>
    </row>
    <row r="1309" spans="1:11">
      <c r="A1309" s="208"/>
      <c r="B1309" s="209" t="s">
        <v>707</v>
      </c>
      <c r="C1309" s="211" t="s">
        <v>1837</v>
      </c>
      <c r="D1309" s="212">
        <v>11.3</v>
      </c>
      <c r="E1309" s="212">
        <v>2.2999999999999998</v>
      </c>
      <c r="F1309" s="209" t="s">
        <v>311</v>
      </c>
      <c r="G1309" s="209"/>
      <c r="I1309" s="209"/>
      <c r="J1309" s="209"/>
      <c r="K1309" s="209"/>
    </row>
    <row r="1310" spans="1:11">
      <c r="A1310" s="208"/>
      <c r="B1310" s="209" t="s">
        <v>707</v>
      </c>
      <c r="C1310" s="211" t="s">
        <v>1388</v>
      </c>
      <c r="D1310" s="212">
        <v>16.16</v>
      </c>
      <c r="E1310" s="212">
        <v>2.75</v>
      </c>
      <c r="F1310" s="209" t="s">
        <v>3539</v>
      </c>
      <c r="G1310" s="212"/>
      <c r="H1310" s="215"/>
      <c r="I1310" s="209"/>
      <c r="J1310" s="209"/>
      <c r="K1310" s="209"/>
    </row>
    <row r="1311" spans="1:11">
      <c r="A1311" s="208"/>
      <c r="B1311" s="209" t="s">
        <v>707</v>
      </c>
      <c r="C1311" s="211" t="s">
        <v>1389</v>
      </c>
      <c r="D1311" s="212">
        <v>16.16</v>
      </c>
      <c r="E1311" s="212">
        <v>3.34</v>
      </c>
      <c r="F1311" s="209" t="s">
        <v>3539</v>
      </c>
      <c r="G1311" s="212"/>
      <c r="I1311" s="209"/>
      <c r="J1311" s="209"/>
      <c r="K1311" s="209"/>
    </row>
    <row r="1312" spans="1:11">
      <c r="A1312" s="208"/>
      <c r="B1312" s="209" t="s">
        <v>709</v>
      </c>
      <c r="C1312" s="211" t="s">
        <v>1838</v>
      </c>
      <c r="D1312" s="209" t="s">
        <v>2046</v>
      </c>
      <c r="E1312" s="212">
        <v>1.92</v>
      </c>
      <c r="F1312" s="212" t="s">
        <v>2353</v>
      </c>
      <c r="G1312" s="209"/>
      <c r="I1312" s="209"/>
      <c r="J1312" s="209"/>
      <c r="K1312" s="209"/>
    </row>
    <row r="1313" spans="1:11">
      <c r="A1313" s="208"/>
      <c r="B1313" s="209" t="s">
        <v>708</v>
      </c>
      <c r="C1313" s="211" t="s">
        <v>1839</v>
      </c>
      <c r="D1313" s="212">
        <v>8.84</v>
      </c>
      <c r="E1313" s="212">
        <v>1.7</v>
      </c>
      <c r="F1313" s="212" t="s">
        <v>343</v>
      </c>
      <c r="G1313" s="209"/>
      <c r="I1313" s="209"/>
      <c r="J1313" s="209"/>
      <c r="K1313" s="209"/>
    </row>
    <row r="1314" spans="1:11">
      <c r="A1314" s="208"/>
      <c r="B1314" s="209" t="s">
        <v>708</v>
      </c>
      <c r="C1314" s="211" t="s">
        <v>1840</v>
      </c>
      <c r="D1314" s="212">
        <v>10.08</v>
      </c>
      <c r="E1314" s="212">
        <v>2.08</v>
      </c>
      <c r="F1314" s="212" t="s">
        <v>2344</v>
      </c>
      <c r="G1314" s="209"/>
      <c r="I1314" s="212"/>
      <c r="J1314" s="212"/>
      <c r="K1314" s="212"/>
    </row>
    <row r="1315" spans="1:11">
      <c r="A1315" s="208"/>
      <c r="B1315" s="209" t="s">
        <v>710</v>
      </c>
      <c r="C1315" s="211" t="s">
        <v>1841</v>
      </c>
      <c r="D1315" s="212">
        <v>10.1</v>
      </c>
      <c r="E1315" s="212">
        <v>1.75</v>
      </c>
      <c r="F1315" s="212" t="s">
        <v>2353</v>
      </c>
      <c r="G1315" s="209"/>
      <c r="I1315" s="212"/>
      <c r="J1315" s="212"/>
      <c r="K1315" s="212"/>
    </row>
    <row r="1316" spans="1:11">
      <c r="A1316" s="208"/>
      <c r="B1316" s="209" t="s">
        <v>710</v>
      </c>
      <c r="C1316" s="211" t="s">
        <v>1842</v>
      </c>
      <c r="D1316" s="212">
        <v>12.24</v>
      </c>
      <c r="E1316" s="212">
        <v>2</v>
      </c>
      <c r="F1316" s="212" t="s">
        <v>2377</v>
      </c>
      <c r="G1316" s="209"/>
      <c r="H1316" s="215"/>
      <c r="I1316" s="209"/>
      <c r="J1316" s="209"/>
      <c r="K1316" s="209"/>
    </row>
    <row r="1317" spans="1:11">
      <c r="A1317" s="208"/>
      <c r="B1317" s="209" t="s">
        <v>711</v>
      </c>
      <c r="C1317" s="211" t="s">
        <v>1844</v>
      </c>
      <c r="D1317" s="212">
        <v>10.67</v>
      </c>
      <c r="E1317" s="212">
        <v>2.09</v>
      </c>
      <c r="F1317" s="212" t="s">
        <v>306</v>
      </c>
      <c r="G1317" s="209"/>
      <c r="I1317" s="209"/>
      <c r="J1317" s="209"/>
      <c r="K1317" s="209"/>
    </row>
    <row r="1318" spans="1:11">
      <c r="A1318" s="208"/>
      <c r="B1318" s="209" t="s">
        <v>711</v>
      </c>
      <c r="C1318" s="211" t="s">
        <v>1845</v>
      </c>
      <c r="D1318" s="212">
        <v>12.19</v>
      </c>
      <c r="E1318" s="212">
        <v>2.41</v>
      </c>
      <c r="F1318" s="212" t="s">
        <v>2343</v>
      </c>
      <c r="G1318" s="209"/>
      <c r="I1318" s="209"/>
      <c r="J1318" s="209"/>
      <c r="K1318" s="209"/>
    </row>
    <row r="1319" spans="1:11">
      <c r="A1319" s="208"/>
      <c r="B1319" s="209" t="s">
        <v>712</v>
      </c>
      <c r="C1319" s="211" t="s">
        <v>246</v>
      </c>
      <c r="D1319" s="212">
        <v>9.5</v>
      </c>
      <c r="E1319" s="212">
        <v>2.06</v>
      </c>
      <c r="F1319" s="209" t="s">
        <v>341</v>
      </c>
      <c r="G1319" s="209"/>
      <c r="I1319" s="209"/>
      <c r="J1319" s="209"/>
      <c r="K1319" s="209"/>
    </row>
    <row r="1320" spans="1:11">
      <c r="A1320" s="208"/>
      <c r="B1320" s="209" t="s">
        <v>712</v>
      </c>
      <c r="C1320" s="211" t="s">
        <v>247</v>
      </c>
      <c r="D1320" s="212">
        <v>9.99</v>
      </c>
      <c r="E1320" s="212">
        <v>2.1</v>
      </c>
      <c r="F1320" s="209" t="s">
        <v>2359</v>
      </c>
      <c r="G1320" s="209"/>
      <c r="I1320" s="212"/>
      <c r="J1320" s="212"/>
      <c r="K1320" s="212"/>
    </row>
    <row r="1321" spans="1:11">
      <c r="A1321" s="208"/>
      <c r="B1321" s="209" t="s">
        <v>713</v>
      </c>
      <c r="C1321" s="211" t="s">
        <v>248</v>
      </c>
      <c r="D1321" s="212">
        <v>9.51</v>
      </c>
      <c r="E1321" s="212">
        <v>1.97</v>
      </c>
      <c r="F1321" s="212" t="s">
        <v>2341</v>
      </c>
      <c r="G1321" s="209"/>
      <c r="I1321" s="212"/>
      <c r="J1321" s="212"/>
      <c r="K1321" s="212"/>
    </row>
    <row r="1322" spans="1:11">
      <c r="A1322" s="208"/>
      <c r="B1322" s="209" t="s">
        <v>713</v>
      </c>
      <c r="C1322" s="211" t="s">
        <v>249</v>
      </c>
      <c r="D1322" s="212">
        <v>10.98</v>
      </c>
      <c r="E1322" s="212">
        <v>2.2599999999999998</v>
      </c>
      <c r="F1322" s="212" t="s">
        <v>2345</v>
      </c>
      <c r="G1322" s="209"/>
      <c r="H1322" s="215"/>
      <c r="I1322" s="212"/>
      <c r="J1322" s="212"/>
      <c r="K1322" s="212"/>
    </row>
    <row r="1323" spans="1:11">
      <c r="A1323" s="208"/>
      <c r="B1323" s="209" t="s">
        <v>713</v>
      </c>
      <c r="C1323" s="211" t="s">
        <v>250</v>
      </c>
      <c r="D1323" s="212">
        <v>11.08</v>
      </c>
      <c r="E1323" s="212">
        <v>2.1</v>
      </c>
      <c r="F1323" s="209" t="s">
        <v>311</v>
      </c>
      <c r="G1323" s="209"/>
      <c r="H1323" s="215"/>
      <c r="I1323" s="209"/>
      <c r="J1323" s="209"/>
      <c r="K1323" s="209"/>
    </row>
    <row r="1324" spans="1:11">
      <c r="A1324" s="208"/>
      <c r="B1324" s="209" t="s">
        <v>713</v>
      </c>
      <c r="C1324" s="211" t="s">
        <v>251</v>
      </c>
      <c r="D1324" s="209" t="s">
        <v>2061</v>
      </c>
      <c r="E1324" s="212">
        <v>2.25</v>
      </c>
      <c r="F1324" s="209" t="s">
        <v>2345</v>
      </c>
      <c r="G1324" s="209"/>
      <c r="I1324" s="209"/>
      <c r="J1324" s="209"/>
      <c r="K1324" s="209"/>
    </row>
    <row r="1325" spans="1:11">
      <c r="A1325" s="208" t="s">
        <v>2342</v>
      </c>
      <c r="B1325" s="209" t="s">
        <v>714</v>
      </c>
      <c r="C1325" s="211" t="s">
        <v>255</v>
      </c>
      <c r="D1325" s="212">
        <v>9.01</v>
      </c>
      <c r="E1325" s="212">
        <v>1.71</v>
      </c>
      <c r="F1325" s="212" t="s">
        <v>3530</v>
      </c>
      <c r="G1325" s="209"/>
      <c r="I1325" s="209"/>
      <c r="J1325" s="209"/>
      <c r="K1325" s="209"/>
    </row>
    <row r="1326" spans="1:11">
      <c r="A1326" s="208"/>
      <c r="B1326" s="209" t="s">
        <v>714</v>
      </c>
      <c r="C1326" s="211" t="s">
        <v>256</v>
      </c>
      <c r="D1326" s="212">
        <v>9.01</v>
      </c>
      <c r="E1326" s="212">
        <v>1.73</v>
      </c>
      <c r="F1326" s="212" t="s">
        <v>3530</v>
      </c>
      <c r="G1326" s="209"/>
      <c r="I1326" s="209"/>
      <c r="J1326" s="209"/>
      <c r="K1326" s="209"/>
    </row>
    <row r="1327" spans="1:11">
      <c r="A1327" s="208"/>
      <c r="B1327" s="209" t="s">
        <v>714</v>
      </c>
      <c r="C1327" s="211" t="s">
        <v>257</v>
      </c>
      <c r="D1327" s="212">
        <v>9.01</v>
      </c>
      <c r="E1327" s="212">
        <v>1.73</v>
      </c>
      <c r="F1327" s="212" t="s">
        <v>3530</v>
      </c>
      <c r="G1327" s="209"/>
      <c r="I1327" s="209"/>
      <c r="J1327" s="209"/>
      <c r="K1327" s="209"/>
    </row>
    <row r="1328" spans="1:11">
      <c r="A1328" s="208"/>
      <c r="B1328" s="209" t="s">
        <v>714</v>
      </c>
      <c r="C1328" s="211" t="s">
        <v>258</v>
      </c>
      <c r="D1328" s="209" t="s">
        <v>1993</v>
      </c>
      <c r="E1328" s="212">
        <v>1.69</v>
      </c>
      <c r="F1328" s="212" t="s">
        <v>3530</v>
      </c>
      <c r="G1328" s="209"/>
      <c r="H1328" s="215"/>
      <c r="I1328" s="212"/>
      <c r="J1328" s="212"/>
      <c r="K1328" s="212"/>
    </row>
    <row r="1329" spans="1:11">
      <c r="A1329" s="208"/>
      <c r="B1329" s="209" t="s">
        <v>715</v>
      </c>
      <c r="C1329" s="211" t="s">
        <v>259</v>
      </c>
      <c r="D1329" s="212">
        <v>7.84</v>
      </c>
      <c r="E1329" s="212">
        <v>1.44</v>
      </c>
      <c r="F1329" s="212" t="s">
        <v>2350</v>
      </c>
      <c r="G1329" s="212"/>
      <c r="H1329" s="215"/>
      <c r="I1329" s="209"/>
      <c r="J1329" s="209"/>
      <c r="K1329" s="209"/>
    </row>
    <row r="1330" spans="1:11">
      <c r="A1330" s="208"/>
      <c r="B1330" s="209" t="s">
        <v>715</v>
      </c>
      <c r="C1330" s="211" t="s">
        <v>260</v>
      </c>
      <c r="D1330" s="212">
        <v>9.5</v>
      </c>
      <c r="E1330" s="212">
        <v>1.62</v>
      </c>
      <c r="F1330" s="212" t="s">
        <v>2374</v>
      </c>
      <c r="G1330" s="209"/>
      <c r="H1330" s="215"/>
      <c r="I1330" s="212"/>
      <c r="J1330" s="212"/>
      <c r="K1330" s="212"/>
    </row>
    <row r="1331" spans="1:11">
      <c r="A1331" s="208"/>
      <c r="B1331" s="209" t="s">
        <v>715</v>
      </c>
      <c r="C1331" s="211" t="s">
        <v>261</v>
      </c>
      <c r="D1331" s="212">
        <v>10.82</v>
      </c>
      <c r="E1331" s="212">
        <v>1.93</v>
      </c>
      <c r="F1331" s="212" t="s">
        <v>3530</v>
      </c>
      <c r="G1331" s="209"/>
      <c r="I1331" s="212"/>
      <c r="J1331" s="212"/>
      <c r="K1331" s="212"/>
    </row>
    <row r="1332" spans="1:11">
      <c r="A1332" s="208"/>
      <c r="B1332" s="209" t="s">
        <v>716</v>
      </c>
      <c r="C1332" s="211" t="s">
        <v>262</v>
      </c>
      <c r="D1332" s="212">
        <v>8.84</v>
      </c>
      <c r="E1332" s="212">
        <v>1.55</v>
      </c>
      <c r="F1332" s="212" t="s">
        <v>2350</v>
      </c>
      <c r="G1332" s="209"/>
      <c r="I1332" s="212"/>
      <c r="J1332" s="212"/>
      <c r="K1332" s="212"/>
    </row>
    <row r="1333" spans="1:11">
      <c r="A1333" s="208"/>
      <c r="B1333" s="209" t="s">
        <v>716</v>
      </c>
      <c r="C1333" s="211" t="s">
        <v>263</v>
      </c>
      <c r="D1333" s="209" t="s">
        <v>1248</v>
      </c>
      <c r="E1333" s="212">
        <v>2.35</v>
      </c>
      <c r="F1333" s="209" t="s">
        <v>2345</v>
      </c>
      <c r="G1333" s="209"/>
      <c r="I1333" s="209"/>
      <c r="J1333" s="209"/>
      <c r="K1333" s="209"/>
    </row>
    <row r="1334" spans="1:11">
      <c r="A1334" s="208"/>
      <c r="B1334" s="209" t="s">
        <v>717</v>
      </c>
      <c r="C1334" s="211" t="s">
        <v>264</v>
      </c>
      <c r="D1334" s="212">
        <v>8.8699999999999992</v>
      </c>
      <c r="E1334" s="212">
        <v>1.68</v>
      </c>
      <c r="F1334" s="212" t="s">
        <v>306</v>
      </c>
      <c r="G1334" s="212"/>
      <c r="I1334" s="209"/>
      <c r="J1334" s="209"/>
      <c r="K1334" s="209"/>
    </row>
    <row r="1335" spans="1:11">
      <c r="A1335" s="208"/>
      <c r="B1335" s="209" t="s">
        <v>717</v>
      </c>
      <c r="C1335" s="211" t="s">
        <v>786</v>
      </c>
      <c r="D1335" s="212">
        <v>9.8699999999999992</v>
      </c>
      <c r="E1335" s="212">
        <v>1.83</v>
      </c>
      <c r="F1335" s="212" t="s">
        <v>2353</v>
      </c>
      <c r="G1335" s="209"/>
      <c r="I1335" s="212"/>
      <c r="J1335" s="212"/>
      <c r="K1335" s="212"/>
    </row>
    <row r="1336" spans="1:11">
      <c r="A1336" s="208"/>
      <c r="B1336" s="209" t="s">
        <v>717</v>
      </c>
      <c r="C1336" s="211" t="s">
        <v>265</v>
      </c>
      <c r="D1336" s="212">
        <v>10.74</v>
      </c>
      <c r="E1336" s="212">
        <v>1.83</v>
      </c>
      <c r="F1336" s="212" t="s">
        <v>2340</v>
      </c>
      <c r="G1336" s="212"/>
      <c r="H1336" s="215"/>
      <c r="I1336" s="209"/>
      <c r="J1336" s="209"/>
      <c r="K1336" s="209"/>
    </row>
    <row r="1337" spans="1:11">
      <c r="A1337" s="208"/>
      <c r="B1337" s="209" t="s">
        <v>717</v>
      </c>
      <c r="C1337" s="211" t="s">
        <v>266</v>
      </c>
      <c r="D1337" s="212">
        <v>10.98</v>
      </c>
      <c r="E1337" s="212">
        <v>1.96</v>
      </c>
      <c r="F1337" s="212" t="s">
        <v>2370</v>
      </c>
      <c r="G1337" s="209"/>
      <c r="I1337" s="209"/>
      <c r="J1337" s="209"/>
      <c r="K1337" s="209"/>
    </row>
    <row r="1338" spans="1:11">
      <c r="A1338" s="208"/>
      <c r="B1338" s="209" t="s">
        <v>717</v>
      </c>
      <c r="C1338" s="211" t="s">
        <v>267</v>
      </c>
      <c r="D1338" s="209" t="s">
        <v>2061</v>
      </c>
      <c r="E1338" s="212">
        <v>1.86</v>
      </c>
      <c r="F1338" s="212" t="s">
        <v>2370</v>
      </c>
      <c r="G1338" s="212"/>
      <c r="H1338" s="215"/>
      <c r="I1338" s="212"/>
      <c r="J1338" s="212"/>
      <c r="K1338" s="212"/>
    </row>
    <row r="1339" spans="1:11">
      <c r="A1339" s="208"/>
      <c r="B1339" s="209" t="s">
        <v>717</v>
      </c>
      <c r="C1339" s="211" t="s">
        <v>787</v>
      </c>
      <c r="D1339" s="212">
        <v>11.55</v>
      </c>
      <c r="E1339" s="212">
        <v>2.08</v>
      </c>
      <c r="F1339" s="212" t="s">
        <v>324</v>
      </c>
      <c r="G1339" s="209"/>
      <c r="H1339" s="215"/>
      <c r="I1339" s="209"/>
      <c r="J1339" s="209"/>
      <c r="K1339" s="209"/>
    </row>
    <row r="1340" spans="1:11">
      <c r="A1340" s="208"/>
      <c r="B1340" s="209" t="s">
        <v>717</v>
      </c>
      <c r="C1340" s="211" t="s">
        <v>268</v>
      </c>
      <c r="D1340" s="212">
        <v>12.27</v>
      </c>
      <c r="E1340" s="212">
        <v>2.33</v>
      </c>
      <c r="F1340" s="212" t="s">
        <v>308</v>
      </c>
      <c r="G1340" s="209"/>
      <c r="H1340" s="215"/>
      <c r="I1340" s="209"/>
      <c r="J1340" s="209"/>
      <c r="K1340" s="209"/>
    </row>
    <row r="1341" spans="1:11">
      <c r="A1341" s="208"/>
      <c r="B1341" s="209" t="s">
        <v>717</v>
      </c>
      <c r="C1341" s="211" t="s">
        <v>269</v>
      </c>
      <c r="D1341" s="212">
        <v>12.42</v>
      </c>
      <c r="E1341" s="212">
        <v>2.2400000000000002</v>
      </c>
      <c r="F1341" s="212" t="s">
        <v>326</v>
      </c>
      <c r="G1341" s="209"/>
      <c r="I1341" s="209"/>
      <c r="J1341" s="209"/>
      <c r="K1341" s="209"/>
    </row>
    <row r="1342" spans="1:11">
      <c r="A1342" s="208"/>
      <c r="B1342" s="209" t="s">
        <v>718</v>
      </c>
      <c r="C1342" s="211" t="s">
        <v>281</v>
      </c>
      <c r="D1342" s="212">
        <v>9.75</v>
      </c>
      <c r="E1342" s="209" t="s">
        <v>305</v>
      </c>
      <c r="F1342" s="212" t="s">
        <v>306</v>
      </c>
      <c r="G1342" s="209"/>
      <c r="I1342" s="209"/>
      <c r="J1342" s="209"/>
      <c r="K1342" s="209"/>
    </row>
    <row r="1343" spans="1:11">
      <c r="A1343" s="208"/>
      <c r="B1343" s="209" t="s">
        <v>718</v>
      </c>
      <c r="C1343" s="211" t="s">
        <v>282</v>
      </c>
      <c r="D1343" s="212">
        <v>10.8</v>
      </c>
      <c r="E1343" s="209" t="s">
        <v>305</v>
      </c>
      <c r="F1343" s="212" t="s">
        <v>2353</v>
      </c>
      <c r="G1343" s="209"/>
      <c r="H1343" s="215"/>
      <c r="I1343" s="209"/>
      <c r="J1343" s="209"/>
      <c r="K1343" s="209"/>
    </row>
    <row r="1344" spans="1:11">
      <c r="A1344" s="208"/>
      <c r="B1344" s="209" t="s">
        <v>718</v>
      </c>
      <c r="C1344" s="211" t="s">
        <v>283</v>
      </c>
      <c r="D1344" s="212">
        <v>10.82</v>
      </c>
      <c r="E1344" s="212">
        <v>2.1800000000000002</v>
      </c>
      <c r="F1344" s="212" t="s">
        <v>341</v>
      </c>
      <c r="G1344" s="212"/>
      <c r="I1344" s="209"/>
      <c r="J1344" s="209"/>
      <c r="K1344" s="209"/>
    </row>
    <row r="1345" spans="1:11">
      <c r="A1345" s="208"/>
      <c r="B1345" s="209" t="s">
        <v>718</v>
      </c>
      <c r="C1345" s="211" t="s">
        <v>284</v>
      </c>
      <c r="D1345" s="212">
        <v>10.73</v>
      </c>
      <c r="E1345" s="209" t="s">
        <v>305</v>
      </c>
      <c r="F1345" s="212" t="s">
        <v>3508</v>
      </c>
      <c r="G1345" s="209"/>
      <c r="I1345" s="212"/>
      <c r="J1345" s="212"/>
      <c r="K1345" s="212"/>
    </row>
    <row r="1346" spans="1:11">
      <c r="A1346" s="208"/>
      <c r="B1346" s="209" t="s">
        <v>718</v>
      </c>
      <c r="C1346" s="211" t="s">
        <v>285</v>
      </c>
      <c r="D1346" s="212">
        <v>13.86</v>
      </c>
      <c r="E1346" s="209" t="s">
        <v>305</v>
      </c>
      <c r="F1346" s="212" t="s">
        <v>321</v>
      </c>
      <c r="G1346" s="209"/>
      <c r="H1346" s="215"/>
      <c r="I1346" s="212"/>
      <c r="J1346" s="212"/>
      <c r="K1346" s="212"/>
    </row>
    <row r="1347" spans="1:11">
      <c r="A1347" s="208"/>
      <c r="B1347" s="209" t="s">
        <v>718</v>
      </c>
      <c r="C1347" s="211" t="s">
        <v>286</v>
      </c>
      <c r="D1347" s="212">
        <v>10.54</v>
      </c>
      <c r="E1347" s="209" t="s">
        <v>305</v>
      </c>
      <c r="F1347" s="212" t="s">
        <v>321</v>
      </c>
      <c r="G1347" s="209"/>
      <c r="I1347" s="212"/>
      <c r="J1347" s="212"/>
      <c r="K1347" s="212"/>
    </row>
    <row r="1348" spans="1:11">
      <c r="A1348" s="208"/>
      <c r="B1348" s="209" t="s">
        <v>450</v>
      </c>
      <c r="C1348" s="211" t="s">
        <v>451</v>
      </c>
      <c r="D1348" s="209" t="s">
        <v>452</v>
      </c>
      <c r="E1348" s="209" t="s">
        <v>436</v>
      </c>
      <c r="F1348" s="209" t="s">
        <v>3000</v>
      </c>
      <c r="G1348" s="209"/>
      <c r="I1348" s="209"/>
      <c r="J1348" s="209"/>
      <c r="K1348" s="209"/>
    </row>
    <row r="1349" spans="1:11">
      <c r="A1349" s="208"/>
      <c r="B1349" s="209" t="s">
        <v>450</v>
      </c>
      <c r="C1349" s="211" t="s">
        <v>455</v>
      </c>
      <c r="D1349" s="209" t="s">
        <v>453</v>
      </c>
      <c r="E1349" s="209" t="s">
        <v>454</v>
      </c>
      <c r="F1349" s="209" t="s">
        <v>311</v>
      </c>
      <c r="G1349" s="209"/>
      <c r="I1349" s="209"/>
      <c r="J1349" s="209"/>
      <c r="K1349" s="209"/>
    </row>
    <row r="1350" spans="1:11">
      <c r="A1350" s="208"/>
      <c r="B1350" s="209" t="s">
        <v>719</v>
      </c>
      <c r="C1350" s="211" t="s">
        <v>290</v>
      </c>
      <c r="D1350" s="212">
        <v>11.01</v>
      </c>
      <c r="E1350" s="212">
        <v>1.78</v>
      </c>
      <c r="F1350" s="212" t="s">
        <v>353</v>
      </c>
      <c r="G1350" s="212"/>
      <c r="I1350" s="209"/>
      <c r="J1350" s="209"/>
      <c r="K1350" s="209"/>
    </row>
    <row r="1351" spans="1:11">
      <c r="A1351" s="208"/>
      <c r="B1351" s="209" t="s">
        <v>719</v>
      </c>
      <c r="C1351" s="211" t="s">
        <v>291</v>
      </c>
      <c r="D1351" s="212">
        <v>10.82</v>
      </c>
      <c r="E1351" s="212">
        <v>1.95</v>
      </c>
      <c r="F1351" s="212" t="s">
        <v>343</v>
      </c>
      <c r="G1351" s="212"/>
      <c r="I1351" s="209"/>
      <c r="J1351" s="209"/>
      <c r="K1351" s="209"/>
    </row>
    <row r="1352" spans="1:11">
      <c r="A1352" s="208"/>
      <c r="B1352" s="209" t="s">
        <v>719</v>
      </c>
      <c r="C1352" s="211" t="s">
        <v>292</v>
      </c>
      <c r="D1352" s="212">
        <v>12.84</v>
      </c>
      <c r="E1352" s="212">
        <v>1.79</v>
      </c>
      <c r="F1352" s="209" t="s">
        <v>2344</v>
      </c>
      <c r="G1352" s="209"/>
      <c r="I1352" s="209"/>
      <c r="J1352" s="209"/>
      <c r="K1352" s="209"/>
    </row>
    <row r="1353" spans="1:11">
      <c r="A1353" s="208"/>
      <c r="B1353" s="209" t="s">
        <v>719</v>
      </c>
      <c r="C1353" s="211" t="s">
        <v>293</v>
      </c>
      <c r="D1353" s="209" t="s">
        <v>1251</v>
      </c>
      <c r="E1353" s="212">
        <v>1.98</v>
      </c>
      <c r="F1353" s="212" t="s">
        <v>2339</v>
      </c>
      <c r="G1353" s="209"/>
      <c r="H1353" s="215"/>
      <c r="I1353" s="209"/>
      <c r="J1353" s="209"/>
      <c r="K1353" s="209"/>
    </row>
    <row r="1354" spans="1:11">
      <c r="A1354" s="208"/>
      <c r="B1354" s="209" t="s">
        <v>719</v>
      </c>
      <c r="C1354" s="211" t="s">
        <v>294</v>
      </c>
      <c r="D1354" s="212">
        <v>14.15</v>
      </c>
      <c r="E1354" s="212">
        <v>2.1</v>
      </c>
      <c r="F1354" s="212" t="s">
        <v>2345</v>
      </c>
      <c r="G1354" s="209"/>
      <c r="H1354" s="215"/>
      <c r="I1354" s="212"/>
      <c r="J1354" s="212"/>
      <c r="K1354" s="212"/>
    </row>
    <row r="1355" spans="1:11">
      <c r="A1355" s="208" t="s">
        <v>2342</v>
      </c>
      <c r="B1355" s="209" t="s">
        <v>719</v>
      </c>
      <c r="C1355" s="211" t="s">
        <v>4634</v>
      </c>
      <c r="D1355" s="209" t="s">
        <v>4635</v>
      </c>
      <c r="E1355" s="209" t="s">
        <v>448</v>
      </c>
      <c r="F1355" s="209" t="s">
        <v>2083</v>
      </c>
      <c r="G1355" s="209"/>
      <c r="H1355" s="215"/>
      <c r="I1355" s="209"/>
      <c r="J1355" s="209"/>
      <c r="K1355" s="209"/>
    </row>
    <row r="1356" spans="1:11">
      <c r="A1356" s="208"/>
      <c r="B1356" s="209" t="s">
        <v>720</v>
      </c>
      <c r="C1356" s="211" t="s">
        <v>296</v>
      </c>
      <c r="D1356" s="212">
        <v>10.84</v>
      </c>
      <c r="E1356" s="212">
        <v>2.0499999999999998</v>
      </c>
      <c r="F1356" s="212" t="s">
        <v>353</v>
      </c>
      <c r="G1356" s="212"/>
      <c r="I1356" s="209"/>
      <c r="J1356" s="209"/>
      <c r="K1356" s="209"/>
    </row>
    <row r="1357" spans="1:11">
      <c r="A1357" s="208"/>
      <c r="B1357" s="209" t="s">
        <v>720</v>
      </c>
      <c r="C1357" s="211" t="s">
        <v>297</v>
      </c>
      <c r="D1357" s="212">
        <v>9.48</v>
      </c>
      <c r="E1357" s="212">
        <v>1.8</v>
      </c>
      <c r="F1357" s="209" t="s">
        <v>2377</v>
      </c>
      <c r="G1357" s="212"/>
      <c r="I1357" s="209"/>
      <c r="J1357" s="209"/>
      <c r="K1357" s="209"/>
    </row>
    <row r="1358" spans="1:11">
      <c r="A1358" s="208"/>
      <c r="B1358" s="209" t="s">
        <v>722</v>
      </c>
      <c r="C1358" s="211" t="s">
        <v>298</v>
      </c>
      <c r="D1358" s="212">
        <v>6.43</v>
      </c>
      <c r="E1358" s="212">
        <v>1.37</v>
      </c>
      <c r="F1358" s="212" t="s">
        <v>324</v>
      </c>
      <c r="G1358" s="212"/>
      <c r="I1358" s="209"/>
      <c r="J1358" s="209"/>
      <c r="K1358" s="209"/>
    </row>
    <row r="1359" spans="1:11">
      <c r="A1359" s="208"/>
      <c r="B1359" s="209" t="s">
        <v>722</v>
      </c>
      <c r="C1359" s="211" t="s">
        <v>299</v>
      </c>
      <c r="D1359" s="209" t="s">
        <v>1252</v>
      </c>
      <c r="E1359" s="212">
        <v>2.13</v>
      </c>
      <c r="F1359" s="212" t="s">
        <v>3539</v>
      </c>
      <c r="G1359" s="209"/>
      <c r="I1359" s="209"/>
      <c r="J1359" s="209"/>
      <c r="K1359" s="209"/>
    </row>
    <row r="1360" spans="1:11">
      <c r="A1360" s="208"/>
      <c r="B1360" s="209" t="s">
        <v>721</v>
      </c>
      <c r="C1360" s="211" t="s">
        <v>788</v>
      </c>
      <c r="D1360" s="212">
        <v>7.28</v>
      </c>
      <c r="E1360" s="212">
        <v>1.2</v>
      </c>
      <c r="F1360" s="212" t="s">
        <v>326</v>
      </c>
      <c r="G1360" s="209"/>
      <c r="I1360" s="209"/>
      <c r="J1360" s="209"/>
      <c r="K1360" s="209"/>
    </row>
    <row r="1361" spans="1:11">
      <c r="A1361" s="208"/>
      <c r="B1361" s="209" t="s">
        <v>721</v>
      </c>
      <c r="C1361" s="211" t="s">
        <v>300</v>
      </c>
      <c r="D1361" s="212">
        <v>10.45</v>
      </c>
      <c r="E1361" s="212">
        <v>1.8</v>
      </c>
      <c r="F1361" s="212" t="s">
        <v>3560</v>
      </c>
      <c r="G1361" s="209"/>
      <c r="I1361" s="209"/>
      <c r="J1361" s="209"/>
      <c r="K1361" s="209"/>
    </row>
    <row r="1362" spans="1:11">
      <c r="A1362" s="208"/>
      <c r="B1362" s="209" t="s">
        <v>723</v>
      </c>
      <c r="C1362" s="211" t="s">
        <v>2139</v>
      </c>
      <c r="D1362" s="209" t="s">
        <v>1253</v>
      </c>
      <c r="E1362" s="212">
        <v>2.08</v>
      </c>
      <c r="F1362" s="209" t="s">
        <v>2350</v>
      </c>
      <c r="G1362" s="209"/>
      <c r="H1362" s="215"/>
      <c r="I1362" s="209"/>
      <c r="J1362" s="209"/>
      <c r="K1362" s="209"/>
    </row>
    <row r="1363" spans="1:11">
      <c r="A1363" s="208"/>
      <c r="B1363" s="209" t="s">
        <v>723</v>
      </c>
      <c r="C1363" s="211" t="s">
        <v>2140</v>
      </c>
      <c r="D1363" s="212">
        <v>11.25</v>
      </c>
      <c r="E1363" s="212">
        <v>1.88</v>
      </c>
      <c r="F1363" s="209" t="s">
        <v>2569</v>
      </c>
      <c r="G1363" s="209"/>
      <c r="I1363" s="209"/>
      <c r="J1363" s="209"/>
      <c r="K1363" s="209"/>
    </row>
    <row r="1364" spans="1:11">
      <c r="A1364" s="208" t="s">
        <v>2342</v>
      </c>
      <c r="B1364" s="209" t="s">
        <v>723</v>
      </c>
      <c r="C1364" s="211" t="s">
        <v>2141</v>
      </c>
      <c r="D1364" s="212">
        <v>13.05</v>
      </c>
      <c r="E1364" s="212">
        <v>1.65</v>
      </c>
      <c r="F1364" s="209" t="s">
        <v>2980</v>
      </c>
      <c r="G1364" s="212"/>
      <c r="I1364" s="209"/>
      <c r="J1364" s="209"/>
      <c r="K1364" s="209"/>
    </row>
    <row r="1365" spans="1:11">
      <c r="A1365" s="208"/>
      <c r="B1365" s="209" t="s">
        <v>724</v>
      </c>
      <c r="C1365" s="211" t="s">
        <v>1390</v>
      </c>
      <c r="D1365" s="212">
        <v>10.5</v>
      </c>
      <c r="E1365" s="212">
        <v>1.45</v>
      </c>
      <c r="F1365" s="212" t="s">
        <v>308</v>
      </c>
      <c r="G1365" s="209"/>
      <c r="I1365" s="212"/>
      <c r="J1365" s="212"/>
      <c r="K1365" s="212"/>
    </row>
    <row r="1366" spans="1:11">
      <c r="A1366" s="208"/>
      <c r="B1366" s="209" t="s">
        <v>724</v>
      </c>
      <c r="C1366" s="211" t="s">
        <v>1391</v>
      </c>
      <c r="D1366" s="212">
        <v>10.5</v>
      </c>
      <c r="E1366" s="212">
        <v>1.82</v>
      </c>
      <c r="F1366" s="212" t="s">
        <v>308</v>
      </c>
      <c r="G1366" s="212"/>
      <c r="I1366" s="209"/>
      <c r="J1366" s="209"/>
      <c r="K1366" s="209"/>
    </row>
    <row r="1367" spans="1:11">
      <c r="A1367" s="208"/>
      <c r="B1367" s="209" t="s">
        <v>724</v>
      </c>
      <c r="C1367" s="211" t="s">
        <v>1392</v>
      </c>
      <c r="D1367" s="212">
        <v>11.8</v>
      </c>
      <c r="E1367" s="212">
        <v>1.6</v>
      </c>
      <c r="F1367" s="212" t="s">
        <v>2377</v>
      </c>
      <c r="G1367" s="212"/>
      <c r="I1367" s="209"/>
      <c r="J1367" s="209"/>
      <c r="K1367" s="209"/>
    </row>
    <row r="1368" spans="1:11">
      <c r="A1368" s="208"/>
      <c r="B1368" s="209" t="s">
        <v>724</v>
      </c>
      <c r="C1368" s="211" t="s">
        <v>1393</v>
      </c>
      <c r="D1368" s="212">
        <v>11.8</v>
      </c>
      <c r="E1368" s="212">
        <v>2.09</v>
      </c>
      <c r="F1368" s="212" t="s">
        <v>2377</v>
      </c>
      <c r="G1368" s="212"/>
      <c r="I1368" s="209"/>
      <c r="J1368" s="209"/>
      <c r="K1368" s="209"/>
    </row>
    <row r="1369" spans="1:11">
      <c r="A1369" s="208"/>
      <c r="B1369" s="209" t="s">
        <v>724</v>
      </c>
      <c r="C1369" s="211" t="s">
        <v>2144</v>
      </c>
      <c r="D1369" s="212">
        <v>14.3</v>
      </c>
      <c r="E1369" s="212">
        <v>2.21</v>
      </c>
      <c r="F1369" s="212" t="s">
        <v>343</v>
      </c>
      <c r="G1369" s="209"/>
      <c r="I1369" s="209"/>
      <c r="J1369" s="209"/>
      <c r="K1369" s="209"/>
    </row>
    <row r="1370" spans="1:11">
      <c r="A1370" s="208"/>
      <c r="B1370" s="209" t="s">
        <v>2874</v>
      </c>
      <c r="C1370" s="211" t="s">
        <v>3353</v>
      </c>
      <c r="D1370" s="212">
        <v>12.11</v>
      </c>
      <c r="E1370" s="212">
        <v>2.5099999999999998</v>
      </c>
      <c r="F1370" s="209" t="s">
        <v>311</v>
      </c>
      <c r="G1370" s="209"/>
      <c r="I1370" s="212"/>
      <c r="J1370" s="212"/>
      <c r="K1370" s="212"/>
    </row>
    <row r="1371" spans="1:11">
      <c r="A1371" s="208"/>
      <c r="B1371" s="209" t="s">
        <v>2874</v>
      </c>
      <c r="C1371" s="211" t="s">
        <v>2150</v>
      </c>
      <c r="D1371" s="212">
        <v>10.7</v>
      </c>
      <c r="E1371" s="212">
        <v>2.2000000000000002</v>
      </c>
      <c r="F1371" s="209" t="s">
        <v>2346</v>
      </c>
      <c r="G1371" s="212"/>
      <c r="I1371" s="212"/>
      <c r="J1371" s="212"/>
      <c r="K1371" s="212"/>
    </row>
    <row r="1372" spans="1:11">
      <c r="A1372" s="208"/>
      <c r="B1372" s="209" t="s">
        <v>2874</v>
      </c>
      <c r="C1372" s="211" t="s">
        <v>2151</v>
      </c>
      <c r="D1372" s="209" t="s">
        <v>1255</v>
      </c>
      <c r="E1372" s="212">
        <v>2.56</v>
      </c>
      <c r="F1372" s="209" t="s">
        <v>311</v>
      </c>
      <c r="G1372" s="209"/>
      <c r="I1372" s="209"/>
      <c r="J1372" s="209"/>
      <c r="K1372" s="209"/>
    </row>
    <row r="1373" spans="1:11">
      <c r="A1373" s="208"/>
      <c r="B1373" s="209" t="s">
        <v>725</v>
      </c>
      <c r="C1373" s="211" t="s">
        <v>3274</v>
      </c>
      <c r="D1373" s="212">
        <v>10.91</v>
      </c>
      <c r="E1373" s="212">
        <v>1.89</v>
      </c>
      <c r="F1373" s="212" t="s">
        <v>2569</v>
      </c>
      <c r="G1373" s="209"/>
      <c r="I1373" s="209"/>
      <c r="J1373" s="209"/>
      <c r="K1373" s="209"/>
    </row>
    <row r="1374" spans="1:11">
      <c r="A1374" s="208"/>
      <c r="B1374" s="209" t="s">
        <v>725</v>
      </c>
      <c r="C1374" s="211" t="s">
        <v>1397</v>
      </c>
      <c r="D1374" s="212">
        <v>11.16</v>
      </c>
      <c r="E1374" s="212">
        <v>1.6</v>
      </c>
      <c r="F1374" s="212" t="s">
        <v>329</v>
      </c>
      <c r="G1374" s="212"/>
      <c r="I1374" s="209"/>
      <c r="J1374" s="209"/>
      <c r="K1374" s="209"/>
    </row>
    <row r="1375" spans="1:11">
      <c r="A1375" s="208"/>
      <c r="B1375" s="209" t="s">
        <v>725</v>
      </c>
      <c r="C1375" s="211" t="s">
        <v>1396</v>
      </c>
      <c r="D1375" s="212">
        <v>11.16</v>
      </c>
      <c r="E1375" s="212">
        <v>2.15</v>
      </c>
      <c r="F1375" s="212" t="s">
        <v>329</v>
      </c>
      <c r="G1375" s="209"/>
      <c r="I1375" s="209"/>
      <c r="J1375" s="209"/>
      <c r="K1375" s="209"/>
    </row>
    <row r="1376" spans="1:11">
      <c r="A1376" s="208"/>
      <c r="B1376" s="209" t="s">
        <v>725</v>
      </c>
      <c r="C1376" s="211" t="s">
        <v>3275</v>
      </c>
      <c r="D1376" s="212">
        <v>11.08</v>
      </c>
      <c r="E1376" s="212">
        <v>1.96</v>
      </c>
      <c r="F1376" s="212" t="s">
        <v>2350</v>
      </c>
      <c r="G1376" s="209"/>
      <c r="I1376" s="209"/>
      <c r="J1376" s="209"/>
      <c r="K1376" s="209"/>
    </row>
    <row r="1377" spans="1:11">
      <c r="A1377" s="208"/>
      <c r="B1377" s="209" t="s">
        <v>725</v>
      </c>
      <c r="C1377" s="211" t="s">
        <v>3276</v>
      </c>
      <c r="D1377" s="212">
        <v>11.23</v>
      </c>
      <c r="E1377" s="212">
        <v>2.1</v>
      </c>
      <c r="F1377" s="212" t="s">
        <v>2372</v>
      </c>
      <c r="G1377" s="209"/>
      <c r="I1377" s="209"/>
      <c r="J1377" s="209"/>
      <c r="K1377" s="209"/>
    </row>
    <row r="1378" spans="1:11">
      <c r="A1378" s="208"/>
      <c r="B1378" s="209" t="s">
        <v>725</v>
      </c>
      <c r="C1378" s="211" t="s">
        <v>3277</v>
      </c>
      <c r="D1378" s="212">
        <v>11.66</v>
      </c>
      <c r="E1378" s="212">
        <v>1.9</v>
      </c>
      <c r="F1378" s="212" t="s">
        <v>2357</v>
      </c>
      <c r="G1378" s="209"/>
      <c r="H1378" s="215"/>
      <c r="I1378" s="209"/>
      <c r="J1378" s="209"/>
      <c r="K1378" s="209"/>
    </row>
    <row r="1379" spans="1:11">
      <c r="A1379" s="208"/>
      <c r="B1379" s="209" t="s">
        <v>725</v>
      </c>
      <c r="C1379" s="211" t="s">
        <v>3278</v>
      </c>
      <c r="D1379" s="212">
        <v>12.19</v>
      </c>
      <c r="E1379" s="212">
        <v>2.2599999999999998</v>
      </c>
      <c r="F1379" s="212" t="s">
        <v>326</v>
      </c>
      <c r="G1379" s="209"/>
      <c r="H1379" s="215"/>
      <c r="I1379" s="212"/>
      <c r="J1379" s="212"/>
      <c r="K1379" s="212"/>
    </row>
    <row r="1380" spans="1:11">
      <c r="A1380" s="208"/>
      <c r="B1380" s="209" t="s">
        <v>725</v>
      </c>
      <c r="C1380" s="211" t="s">
        <v>3279</v>
      </c>
      <c r="D1380" s="209" t="s">
        <v>1983</v>
      </c>
      <c r="E1380" s="212">
        <v>2.2000000000000002</v>
      </c>
      <c r="F1380" s="212" t="s">
        <v>2353</v>
      </c>
      <c r="G1380" s="209"/>
      <c r="I1380" s="212"/>
      <c r="J1380" s="212"/>
      <c r="K1380" s="212"/>
    </row>
    <row r="1381" spans="1:11">
      <c r="A1381" s="208"/>
      <c r="B1381" s="209" t="s">
        <v>725</v>
      </c>
      <c r="C1381" s="211" t="s">
        <v>1398</v>
      </c>
      <c r="D1381" s="212">
        <v>12.26</v>
      </c>
      <c r="E1381" s="212">
        <v>2.16</v>
      </c>
      <c r="F1381" s="212" t="s">
        <v>3539</v>
      </c>
      <c r="G1381" s="212"/>
      <c r="I1381" s="212"/>
      <c r="J1381" s="212"/>
      <c r="K1381" s="212"/>
    </row>
    <row r="1382" spans="1:11">
      <c r="A1382" s="208"/>
      <c r="B1382" s="209" t="s">
        <v>725</v>
      </c>
      <c r="C1382" s="211" t="s">
        <v>1399</v>
      </c>
      <c r="D1382" s="212">
        <v>12.26</v>
      </c>
      <c r="E1382" s="212">
        <v>2.4</v>
      </c>
      <c r="F1382" s="212" t="s">
        <v>3539</v>
      </c>
      <c r="G1382" s="212"/>
      <c r="I1382" s="209"/>
      <c r="J1382" s="209"/>
      <c r="K1382" s="209"/>
    </row>
    <row r="1383" spans="1:11">
      <c r="A1383" s="208"/>
      <c r="B1383" s="209" t="s">
        <v>725</v>
      </c>
      <c r="C1383" s="211" t="s">
        <v>3280</v>
      </c>
      <c r="D1383" s="212">
        <v>12.26</v>
      </c>
      <c r="E1383" s="209" t="s">
        <v>305</v>
      </c>
      <c r="F1383" s="212" t="s">
        <v>3539</v>
      </c>
      <c r="G1383" s="212"/>
      <c r="I1383" s="209"/>
      <c r="J1383" s="209"/>
      <c r="K1383" s="209"/>
    </row>
    <row r="1384" spans="1:11">
      <c r="A1384" s="208"/>
      <c r="B1384" s="209" t="s">
        <v>725</v>
      </c>
      <c r="C1384" s="211" t="s">
        <v>3281</v>
      </c>
      <c r="D1384" s="212">
        <v>12.53</v>
      </c>
      <c r="E1384" s="212">
        <v>2.11</v>
      </c>
      <c r="F1384" s="212" t="s">
        <v>2355</v>
      </c>
      <c r="G1384" s="209"/>
      <c r="I1384" s="212"/>
      <c r="J1384" s="212"/>
      <c r="K1384" s="212"/>
    </row>
    <row r="1385" spans="1:11">
      <c r="A1385" s="208"/>
      <c r="B1385" s="209" t="s">
        <v>725</v>
      </c>
      <c r="C1385" s="211" t="s">
        <v>3282</v>
      </c>
      <c r="D1385" s="212">
        <v>12.44</v>
      </c>
      <c r="E1385" s="212">
        <v>2.21</v>
      </c>
      <c r="F1385" s="212" t="s">
        <v>327</v>
      </c>
      <c r="G1385" s="209"/>
      <c r="I1385" s="212"/>
      <c r="J1385" s="212"/>
      <c r="K1385" s="212"/>
    </row>
    <row r="1386" spans="1:11">
      <c r="A1386" s="208"/>
      <c r="B1386" s="209" t="s">
        <v>725</v>
      </c>
      <c r="C1386" s="211" t="s">
        <v>3283</v>
      </c>
      <c r="D1386" s="212">
        <v>12.8</v>
      </c>
      <c r="E1386" s="212">
        <v>2.4300000000000002</v>
      </c>
      <c r="F1386" s="212" t="s">
        <v>2370</v>
      </c>
      <c r="G1386" s="209"/>
      <c r="I1386" s="212"/>
      <c r="J1386" s="212"/>
      <c r="K1386" s="212"/>
    </row>
    <row r="1387" spans="1:11">
      <c r="A1387" s="208"/>
      <c r="B1387" s="209" t="s">
        <v>725</v>
      </c>
      <c r="C1387" s="211" t="s">
        <v>4720</v>
      </c>
      <c r="D1387" s="212">
        <v>12.98</v>
      </c>
      <c r="E1387" s="212">
        <v>2.7</v>
      </c>
      <c r="F1387" s="209" t="s">
        <v>2362</v>
      </c>
      <c r="G1387" s="209"/>
      <c r="H1387" s="215"/>
      <c r="I1387" s="212"/>
      <c r="J1387" s="212"/>
      <c r="K1387" s="212"/>
    </row>
    <row r="1388" spans="1:11">
      <c r="A1388" s="208"/>
      <c r="B1388" s="209" t="s">
        <v>725</v>
      </c>
      <c r="C1388" s="211" t="s">
        <v>3284</v>
      </c>
      <c r="D1388" s="212">
        <v>12.8</v>
      </c>
      <c r="E1388" s="212">
        <v>1.8</v>
      </c>
      <c r="F1388" s="212" t="s">
        <v>2370</v>
      </c>
      <c r="G1388" s="209"/>
      <c r="H1388" s="215"/>
      <c r="I1388" s="212"/>
      <c r="J1388" s="212"/>
      <c r="K1388" s="212"/>
    </row>
    <row r="1389" spans="1:11">
      <c r="A1389" s="208"/>
      <c r="B1389" s="209" t="s">
        <v>725</v>
      </c>
      <c r="C1389" s="211" t="s">
        <v>3285</v>
      </c>
      <c r="D1389" s="212">
        <v>13.07</v>
      </c>
      <c r="E1389" s="212">
        <v>2.27</v>
      </c>
      <c r="F1389" s="212" t="s">
        <v>2374</v>
      </c>
      <c r="G1389" s="209"/>
      <c r="H1389" s="215"/>
      <c r="I1389" s="212"/>
      <c r="J1389" s="212"/>
      <c r="K1389" s="212"/>
    </row>
    <row r="1390" spans="1:11">
      <c r="A1390" s="208"/>
      <c r="B1390" s="209" t="s">
        <v>725</v>
      </c>
      <c r="C1390" s="211" t="s">
        <v>1401</v>
      </c>
      <c r="D1390" s="209" t="s">
        <v>1263</v>
      </c>
      <c r="E1390" s="212">
        <v>1.81</v>
      </c>
      <c r="F1390" s="212" t="s">
        <v>332</v>
      </c>
      <c r="G1390" s="212"/>
      <c r="I1390" s="212"/>
      <c r="J1390" s="212"/>
      <c r="K1390" s="212"/>
    </row>
    <row r="1391" spans="1:11">
      <c r="A1391" s="208" t="s">
        <v>2342</v>
      </c>
      <c r="B1391" s="209" t="s">
        <v>725</v>
      </c>
      <c r="C1391" s="211" t="s">
        <v>1400</v>
      </c>
      <c r="D1391" s="212">
        <v>13.09</v>
      </c>
      <c r="E1391" s="212">
        <v>2.5299999999999998</v>
      </c>
      <c r="F1391" s="212" t="s">
        <v>332</v>
      </c>
      <c r="G1391" s="209"/>
      <c r="I1391" s="212"/>
      <c r="J1391" s="212"/>
      <c r="K1391" s="212"/>
    </row>
    <row r="1392" spans="1:11">
      <c r="A1392" s="208"/>
      <c r="B1392" s="209" t="s">
        <v>725</v>
      </c>
      <c r="C1392" s="211" t="s">
        <v>5646</v>
      </c>
      <c r="D1392" s="212">
        <v>13.48</v>
      </c>
      <c r="E1392" s="212" t="s">
        <v>1658</v>
      </c>
      <c r="F1392" s="212" t="s">
        <v>2366</v>
      </c>
      <c r="G1392" s="209"/>
      <c r="H1392" s="215"/>
      <c r="I1392" s="212"/>
      <c r="J1392" s="212"/>
      <c r="K1392" s="212"/>
    </row>
    <row r="1393" spans="1:11">
      <c r="A1393" s="208"/>
      <c r="B1393" s="209" t="s">
        <v>725</v>
      </c>
      <c r="C1393" s="211" t="s">
        <v>3286</v>
      </c>
      <c r="D1393" s="212">
        <v>13.4</v>
      </c>
      <c r="E1393" s="212">
        <v>2.5299999999999998</v>
      </c>
      <c r="F1393" s="212" t="s">
        <v>2377</v>
      </c>
      <c r="G1393" s="209"/>
      <c r="H1393" s="215"/>
      <c r="I1393" s="212"/>
      <c r="J1393" s="212"/>
      <c r="K1393" s="212"/>
    </row>
    <row r="1394" spans="1:11">
      <c r="A1394" s="208"/>
      <c r="B1394" s="209" t="s">
        <v>725</v>
      </c>
      <c r="C1394" s="211" t="s">
        <v>3287</v>
      </c>
      <c r="D1394" s="212">
        <v>13.4</v>
      </c>
      <c r="E1394" s="212">
        <v>2.2000000000000002</v>
      </c>
      <c r="F1394" s="212" t="s">
        <v>2340</v>
      </c>
      <c r="G1394" s="209"/>
      <c r="H1394" s="215"/>
      <c r="I1394" s="212"/>
      <c r="J1394" s="212"/>
      <c r="K1394" s="212"/>
    </row>
    <row r="1395" spans="1:11">
      <c r="A1395" s="208"/>
      <c r="B1395" s="209" t="s">
        <v>725</v>
      </c>
      <c r="C1395" s="211" t="s">
        <v>5629</v>
      </c>
      <c r="D1395" s="212">
        <v>13.52</v>
      </c>
      <c r="E1395" s="212">
        <v>2.4</v>
      </c>
      <c r="F1395" s="212" t="s">
        <v>2353</v>
      </c>
      <c r="G1395" s="209"/>
      <c r="H1395" s="215"/>
      <c r="I1395" s="212"/>
      <c r="J1395" s="212"/>
      <c r="K1395" s="212"/>
    </row>
    <row r="1396" spans="1:11">
      <c r="A1396" s="208"/>
      <c r="B1396" s="209" t="s">
        <v>725</v>
      </c>
      <c r="C1396" s="211" t="s">
        <v>789</v>
      </c>
      <c r="D1396" s="212">
        <v>13.83</v>
      </c>
      <c r="E1396" s="212">
        <v>2.81</v>
      </c>
      <c r="F1396" s="212" t="s">
        <v>2359</v>
      </c>
      <c r="G1396" s="209"/>
      <c r="H1396" s="215"/>
      <c r="I1396" s="212"/>
      <c r="J1396" s="212"/>
      <c r="K1396" s="212"/>
    </row>
    <row r="1397" spans="1:11">
      <c r="A1397" s="208"/>
      <c r="B1397" s="209" t="s">
        <v>725</v>
      </c>
      <c r="C1397" s="211" t="s">
        <v>949</v>
      </c>
      <c r="D1397" s="212">
        <v>14.05</v>
      </c>
      <c r="E1397" s="212">
        <v>2.2999999999999998</v>
      </c>
      <c r="F1397" s="212" t="s">
        <v>321</v>
      </c>
      <c r="G1397" s="209"/>
      <c r="H1397" s="215"/>
      <c r="I1397" s="209"/>
      <c r="J1397" s="209"/>
      <c r="K1397" s="209"/>
    </row>
    <row r="1398" spans="1:11">
      <c r="A1398" s="208"/>
      <c r="B1398" s="209" t="s">
        <v>725</v>
      </c>
      <c r="C1398" s="211" t="s">
        <v>1402</v>
      </c>
      <c r="D1398" s="212">
        <v>14.36</v>
      </c>
      <c r="E1398" s="212">
        <v>1.8</v>
      </c>
      <c r="F1398" s="212" t="s">
        <v>3560</v>
      </c>
      <c r="G1398" s="209"/>
      <c r="H1398" s="215"/>
      <c r="I1398" s="209"/>
      <c r="J1398" s="209"/>
      <c r="K1398" s="209"/>
    </row>
    <row r="1399" spans="1:11">
      <c r="A1399" s="208"/>
      <c r="B1399" s="209" t="s">
        <v>725</v>
      </c>
      <c r="C1399" s="211" t="s">
        <v>1403</v>
      </c>
      <c r="D1399" s="212">
        <v>14.36</v>
      </c>
      <c r="E1399" s="212">
        <v>2.5</v>
      </c>
      <c r="F1399" s="212" t="s">
        <v>3560</v>
      </c>
      <c r="G1399" s="209"/>
      <c r="H1399" s="215"/>
      <c r="I1399" s="209"/>
      <c r="J1399" s="209"/>
      <c r="K1399" s="209"/>
    </row>
    <row r="1400" spans="1:11">
      <c r="A1400" s="208"/>
      <c r="B1400" s="209" t="s">
        <v>725</v>
      </c>
      <c r="C1400" s="211" t="s">
        <v>1405</v>
      </c>
      <c r="D1400" s="209" t="s">
        <v>1264</v>
      </c>
      <c r="E1400" s="212">
        <v>2.57</v>
      </c>
      <c r="F1400" s="212" t="s">
        <v>3560</v>
      </c>
      <c r="G1400" s="209"/>
      <c r="H1400" s="215"/>
      <c r="I1400" s="209"/>
      <c r="J1400" s="209"/>
      <c r="K1400" s="209"/>
    </row>
    <row r="1401" spans="1:11">
      <c r="A1401" s="208"/>
      <c r="B1401" s="209" t="s">
        <v>725</v>
      </c>
      <c r="C1401" s="211" t="s">
        <v>948</v>
      </c>
      <c r="D1401" s="209" t="s">
        <v>1264</v>
      </c>
      <c r="E1401" s="212">
        <v>2.87</v>
      </c>
      <c r="F1401" s="212" t="s">
        <v>3560</v>
      </c>
      <c r="G1401" s="212"/>
      <c r="H1401" s="215"/>
      <c r="I1401" s="209"/>
      <c r="J1401" s="209"/>
      <c r="K1401" s="209"/>
    </row>
    <row r="1402" spans="1:11">
      <c r="A1402" s="208"/>
      <c r="B1402" s="209" t="s">
        <v>725</v>
      </c>
      <c r="C1402" s="211" t="s">
        <v>1404</v>
      </c>
      <c r="D1402" s="212">
        <v>14.4</v>
      </c>
      <c r="E1402" s="212">
        <v>2.7</v>
      </c>
      <c r="F1402" s="212" t="s">
        <v>3560</v>
      </c>
      <c r="G1402" s="209"/>
      <c r="H1402" s="215"/>
      <c r="I1402" s="209"/>
      <c r="J1402" s="209"/>
      <c r="K1402" s="209"/>
    </row>
    <row r="1403" spans="1:11">
      <c r="A1403" s="208"/>
      <c r="B1403" s="209" t="s">
        <v>725</v>
      </c>
      <c r="C1403" s="211" t="s">
        <v>1408</v>
      </c>
      <c r="D1403" s="212">
        <v>14.6</v>
      </c>
      <c r="E1403" s="212">
        <v>2.2400000000000002</v>
      </c>
      <c r="F1403" s="212" t="s">
        <v>2357</v>
      </c>
      <c r="G1403" s="209"/>
      <c r="H1403" s="215"/>
      <c r="I1403" s="209"/>
      <c r="J1403" s="209"/>
      <c r="K1403" s="209"/>
    </row>
    <row r="1404" spans="1:11">
      <c r="A1404" s="208"/>
      <c r="B1404" s="209" t="s">
        <v>725</v>
      </c>
      <c r="C1404" s="211" t="s">
        <v>1406</v>
      </c>
      <c r="D1404" s="209" t="s">
        <v>1265</v>
      </c>
      <c r="E1404" s="212">
        <v>2.4</v>
      </c>
      <c r="F1404" s="212" t="s">
        <v>2357</v>
      </c>
      <c r="G1404" s="209"/>
      <c r="H1404" s="215"/>
      <c r="I1404" s="209"/>
      <c r="J1404" s="209"/>
      <c r="K1404" s="209"/>
    </row>
    <row r="1405" spans="1:11">
      <c r="A1405" s="208"/>
      <c r="B1405" s="209" t="s">
        <v>725</v>
      </c>
      <c r="C1405" s="211" t="s">
        <v>1407</v>
      </c>
      <c r="D1405" s="209" t="s">
        <v>1266</v>
      </c>
      <c r="E1405" s="212">
        <v>2.4</v>
      </c>
      <c r="F1405" s="212" t="s">
        <v>3530</v>
      </c>
      <c r="G1405" s="209"/>
      <c r="I1405" s="209"/>
      <c r="J1405" s="209"/>
      <c r="K1405" s="209"/>
    </row>
    <row r="1406" spans="1:11">
      <c r="A1406" s="208"/>
      <c r="B1406" s="209" t="s">
        <v>725</v>
      </c>
      <c r="C1406" s="211" t="s">
        <v>950</v>
      </c>
      <c r="D1406" s="212">
        <v>14.58</v>
      </c>
      <c r="E1406" s="212">
        <v>2.83</v>
      </c>
      <c r="F1406" s="212" t="s">
        <v>2357</v>
      </c>
      <c r="G1406" s="212"/>
      <c r="I1406" s="212"/>
      <c r="J1406" s="212"/>
      <c r="K1406" s="212"/>
    </row>
    <row r="1407" spans="1:11">
      <c r="A1407" s="208"/>
      <c r="B1407" s="209" t="s">
        <v>725</v>
      </c>
      <c r="C1407" s="211" t="s">
        <v>951</v>
      </c>
      <c r="D1407" s="209" t="s">
        <v>1265</v>
      </c>
      <c r="E1407" s="212">
        <v>2.38</v>
      </c>
      <c r="F1407" s="212" t="s">
        <v>2366</v>
      </c>
      <c r="G1407" s="212"/>
      <c r="I1407" s="209"/>
      <c r="J1407" s="209"/>
      <c r="K1407" s="209"/>
    </row>
    <row r="1408" spans="1:11">
      <c r="A1408" s="208"/>
      <c r="B1408" s="209" t="s">
        <v>725</v>
      </c>
      <c r="C1408" s="211" t="s">
        <v>1409</v>
      </c>
      <c r="D1408" s="212">
        <v>14.84</v>
      </c>
      <c r="E1408" s="212">
        <v>2.39</v>
      </c>
      <c r="F1408" s="212" t="s">
        <v>319</v>
      </c>
      <c r="G1408" s="209"/>
      <c r="I1408" s="209"/>
      <c r="J1408" s="209"/>
      <c r="K1408" s="209"/>
    </row>
    <row r="1409" spans="1:11">
      <c r="A1409" s="208"/>
      <c r="B1409" s="209" t="s">
        <v>725</v>
      </c>
      <c r="C1409" s="211" t="s">
        <v>1410</v>
      </c>
      <c r="D1409" s="209" t="s">
        <v>1267</v>
      </c>
      <c r="E1409" s="212">
        <v>2.9</v>
      </c>
      <c r="F1409" s="212" t="s">
        <v>319</v>
      </c>
      <c r="G1409" s="209"/>
      <c r="I1409" s="209"/>
      <c r="J1409" s="209"/>
      <c r="K1409" s="209"/>
    </row>
    <row r="1410" spans="1:11">
      <c r="A1410" s="208"/>
      <c r="B1410" s="209" t="s">
        <v>725</v>
      </c>
      <c r="C1410" s="211" t="s">
        <v>1411</v>
      </c>
      <c r="D1410" s="212">
        <v>14.84</v>
      </c>
      <c r="E1410" s="212">
        <v>2.94</v>
      </c>
      <c r="F1410" s="212" t="s">
        <v>319</v>
      </c>
      <c r="G1410" s="209"/>
      <c r="I1410" s="209"/>
      <c r="J1410" s="209"/>
      <c r="K1410" s="209"/>
    </row>
    <row r="1411" spans="1:11">
      <c r="A1411" s="208"/>
      <c r="B1411" s="209" t="s">
        <v>725</v>
      </c>
      <c r="C1411" s="211" t="s">
        <v>4721</v>
      </c>
      <c r="D1411" s="209" t="s">
        <v>2053</v>
      </c>
      <c r="E1411" s="209" t="s">
        <v>4619</v>
      </c>
      <c r="F1411" s="209" t="s">
        <v>2083</v>
      </c>
      <c r="G1411" s="209"/>
      <c r="I1411" s="209"/>
      <c r="J1411" s="209"/>
      <c r="K1411" s="209"/>
    </row>
    <row r="1412" spans="1:11">
      <c r="A1412" s="208" t="s">
        <v>2342</v>
      </c>
      <c r="B1412" s="209" t="s">
        <v>725</v>
      </c>
      <c r="C1412" s="211" t="s">
        <v>952</v>
      </c>
      <c r="D1412" s="212">
        <v>15.62</v>
      </c>
      <c r="E1412" s="212">
        <v>2.88</v>
      </c>
      <c r="F1412" s="212" t="s">
        <v>326</v>
      </c>
      <c r="G1412" s="209"/>
      <c r="I1412" s="209"/>
      <c r="J1412" s="209"/>
      <c r="K1412" s="209"/>
    </row>
    <row r="1413" spans="1:11">
      <c r="A1413" s="208"/>
      <c r="B1413" s="209" t="s">
        <v>725</v>
      </c>
      <c r="C1413" s="211" t="s">
        <v>953</v>
      </c>
      <c r="D1413" s="212">
        <v>15.62</v>
      </c>
      <c r="E1413" s="209" t="s">
        <v>305</v>
      </c>
      <c r="F1413" s="212" t="s">
        <v>326</v>
      </c>
      <c r="G1413" s="209"/>
      <c r="I1413" s="209"/>
      <c r="J1413" s="209"/>
      <c r="K1413" s="209"/>
    </row>
    <row r="1414" spans="1:11">
      <c r="A1414" s="208"/>
      <c r="B1414" s="209" t="s">
        <v>725</v>
      </c>
      <c r="C1414" s="211" t="s">
        <v>954</v>
      </c>
      <c r="D1414" s="212">
        <v>16.059999999999999</v>
      </c>
      <c r="E1414" s="212">
        <v>3.1</v>
      </c>
      <c r="F1414" s="212" t="s">
        <v>2980</v>
      </c>
      <c r="G1414" s="209"/>
      <c r="H1414" s="215"/>
      <c r="I1414" s="212"/>
      <c r="J1414" s="212"/>
      <c r="K1414" s="212"/>
    </row>
    <row r="1415" spans="1:11">
      <c r="A1415" s="208"/>
      <c r="B1415" s="209" t="s">
        <v>725</v>
      </c>
      <c r="C1415" s="211" t="s">
        <v>955</v>
      </c>
      <c r="D1415" s="212">
        <v>16.48</v>
      </c>
      <c r="E1415" s="212">
        <v>2.44</v>
      </c>
      <c r="F1415" s="212" t="s">
        <v>321</v>
      </c>
      <c r="G1415" s="212"/>
      <c r="I1415" s="209"/>
      <c r="J1415" s="209"/>
      <c r="K1415" s="209"/>
    </row>
    <row r="1416" spans="1:11">
      <c r="A1416" s="208"/>
      <c r="B1416" s="209" t="s">
        <v>725</v>
      </c>
      <c r="C1416" s="211" t="s">
        <v>956</v>
      </c>
      <c r="D1416" s="212">
        <v>16.2</v>
      </c>
      <c r="E1416" s="212">
        <v>2.6</v>
      </c>
      <c r="F1416" s="212" t="s">
        <v>2350</v>
      </c>
      <c r="G1416" s="212"/>
    </row>
    <row r="1417" spans="1:11">
      <c r="A1417" s="208"/>
      <c r="B1417" s="209" t="s">
        <v>725</v>
      </c>
      <c r="C1417" s="211" t="s">
        <v>957</v>
      </c>
      <c r="D1417" s="212">
        <v>16.09</v>
      </c>
      <c r="E1417" s="212">
        <v>2.48</v>
      </c>
      <c r="F1417" s="212" t="s">
        <v>2350</v>
      </c>
      <c r="G1417" s="212"/>
    </row>
    <row r="1418" spans="1:11">
      <c r="A1418" s="208"/>
      <c r="B1418" s="209" t="s">
        <v>725</v>
      </c>
      <c r="C1418" s="211" t="s">
        <v>958</v>
      </c>
      <c r="D1418" s="209" t="s">
        <v>1268</v>
      </c>
      <c r="E1418" s="212">
        <v>2.56</v>
      </c>
      <c r="F1418" s="212" t="s">
        <v>2350</v>
      </c>
      <c r="G1418" s="209"/>
    </row>
    <row r="1419" spans="1:11">
      <c r="A1419" s="208" t="s">
        <v>2342</v>
      </c>
      <c r="B1419" s="209" t="s">
        <v>725</v>
      </c>
      <c r="C1419" s="211" t="s">
        <v>461</v>
      </c>
      <c r="D1419" s="209" t="s">
        <v>462</v>
      </c>
      <c r="E1419" s="209" t="s">
        <v>454</v>
      </c>
      <c r="F1419" s="209" t="s">
        <v>2340</v>
      </c>
      <c r="G1419" s="209"/>
    </row>
    <row r="1420" spans="1:11">
      <c r="A1420" s="208" t="s">
        <v>2342</v>
      </c>
      <c r="B1420" s="209" t="s">
        <v>725</v>
      </c>
      <c r="C1420" s="211" t="s">
        <v>959</v>
      </c>
      <c r="D1420" s="209" t="s">
        <v>1269</v>
      </c>
      <c r="E1420" s="212">
        <v>2.7</v>
      </c>
      <c r="F1420" s="212" t="s">
        <v>2343</v>
      </c>
      <c r="G1420" s="212"/>
    </row>
    <row r="1421" spans="1:11">
      <c r="A1421" s="208"/>
      <c r="B1421" s="209" t="s">
        <v>725</v>
      </c>
      <c r="C1421" s="211" t="s">
        <v>960</v>
      </c>
      <c r="D1421" s="212">
        <v>17.190000000000001</v>
      </c>
      <c r="E1421" s="212">
        <v>3.38</v>
      </c>
      <c r="F1421" s="212" t="s">
        <v>2343</v>
      </c>
      <c r="G1421" s="212"/>
    </row>
    <row r="1422" spans="1:11">
      <c r="A1422" s="208"/>
      <c r="B1422" s="209" t="s">
        <v>725</v>
      </c>
      <c r="C1422" s="211" t="s">
        <v>961</v>
      </c>
      <c r="D1422" s="212">
        <v>17.5</v>
      </c>
      <c r="E1422" s="212">
        <v>2.82</v>
      </c>
      <c r="F1422" s="212" t="s">
        <v>327</v>
      </c>
      <c r="G1422" s="212"/>
      <c r="H1422" s="215"/>
    </row>
    <row r="1423" spans="1:11">
      <c r="A1423" s="208"/>
      <c r="B1423" s="209" t="s">
        <v>725</v>
      </c>
      <c r="C1423" s="211" t="s">
        <v>962</v>
      </c>
      <c r="D1423" s="212">
        <v>17.920000000000002</v>
      </c>
      <c r="E1423" s="212">
        <v>3.4</v>
      </c>
      <c r="F1423" s="212" t="s">
        <v>306</v>
      </c>
      <c r="G1423" s="212"/>
    </row>
    <row r="1424" spans="1:11">
      <c r="A1424" s="208"/>
      <c r="B1424" s="209" t="s">
        <v>725</v>
      </c>
      <c r="C1424" s="211" t="s">
        <v>790</v>
      </c>
      <c r="D1424" s="209" t="s">
        <v>1270</v>
      </c>
      <c r="E1424" s="212"/>
      <c r="F1424" s="212"/>
      <c r="G1424" s="212"/>
    </row>
    <row r="1425" spans="1:7">
      <c r="A1425" s="208"/>
      <c r="B1425" s="209" t="s">
        <v>725</v>
      </c>
      <c r="C1425" s="211" t="s">
        <v>792</v>
      </c>
      <c r="D1425" s="212">
        <v>18.3</v>
      </c>
      <c r="E1425" s="212">
        <v>3.61</v>
      </c>
      <c r="F1425" s="212" t="s">
        <v>321</v>
      </c>
      <c r="G1425" s="212"/>
    </row>
    <row r="1426" spans="1:7">
      <c r="A1426" s="208"/>
      <c r="B1426" s="209" t="s">
        <v>725</v>
      </c>
      <c r="C1426" s="211" t="s">
        <v>463</v>
      </c>
      <c r="D1426" s="212">
        <v>19.68</v>
      </c>
      <c r="E1426" s="209" t="s">
        <v>464</v>
      </c>
      <c r="F1426" s="212" t="s">
        <v>2366</v>
      </c>
      <c r="G1426" s="212"/>
    </row>
    <row r="1427" spans="1:7">
      <c r="A1427" s="208"/>
      <c r="B1427" s="209" t="s">
        <v>725</v>
      </c>
      <c r="C1427" s="211" t="s">
        <v>465</v>
      </c>
      <c r="D1427" s="212">
        <v>19.68</v>
      </c>
      <c r="E1427" s="212">
        <v>2.4500000000000002</v>
      </c>
      <c r="F1427" s="212" t="s">
        <v>2366</v>
      </c>
      <c r="G1427" s="212"/>
    </row>
    <row r="1428" spans="1:7">
      <c r="A1428" s="208"/>
      <c r="B1428" s="209" t="s">
        <v>725</v>
      </c>
      <c r="C1428" s="211" t="s">
        <v>963</v>
      </c>
      <c r="D1428" s="209" t="s">
        <v>1271</v>
      </c>
      <c r="E1428" s="212">
        <v>3.5</v>
      </c>
      <c r="F1428" s="212" t="s">
        <v>3508</v>
      </c>
      <c r="G1428" s="212"/>
    </row>
    <row r="1429" spans="1:7">
      <c r="A1429" s="208"/>
      <c r="B1429" s="209" t="s">
        <v>726</v>
      </c>
      <c r="C1429" s="211" t="s">
        <v>964</v>
      </c>
      <c r="D1429" s="209" t="s">
        <v>1272</v>
      </c>
      <c r="E1429" s="212">
        <v>2.0299999999999998</v>
      </c>
      <c r="F1429" s="209" t="s">
        <v>3508</v>
      </c>
      <c r="G1429" s="212"/>
    </row>
    <row r="1430" spans="1:7">
      <c r="A1430" s="208"/>
      <c r="B1430" s="209" t="s">
        <v>726</v>
      </c>
      <c r="C1430" s="211" t="s">
        <v>965</v>
      </c>
      <c r="D1430" s="212">
        <v>12.45</v>
      </c>
      <c r="E1430" s="212">
        <v>2.81</v>
      </c>
      <c r="F1430" s="212" t="s">
        <v>2344</v>
      </c>
      <c r="G1430" s="212"/>
    </row>
    <row r="1431" spans="1:7">
      <c r="A1431" s="208"/>
      <c r="B1431" s="209" t="s">
        <v>726</v>
      </c>
      <c r="C1431" s="211" t="s">
        <v>966</v>
      </c>
      <c r="D1431" s="212">
        <v>8.01</v>
      </c>
      <c r="E1431" s="212">
        <v>1.45</v>
      </c>
      <c r="F1431" s="212" t="s">
        <v>2353</v>
      </c>
      <c r="G1431" s="212"/>
    </row>
    <row r="1432" spans="1:7">
      <c r="A1432" s="208"/>
      <c r="B1432" s="209" t="s">
        <v>726</v>
      </c>
      <c r="C1432" s="211" t="s">
        <v>967</v>
      </c>
      <c r="D1432" s="212">
        <v>9.75</v>
      </c>
      <c r="E1432" s="212">
        <v>1.9</v>
      </c>
      <c r="F1432" s="212" t="s">
        <v>308</v>
      </c>
      <c r="G1432" s="212"/>
    </row>
    <row r="1433" spans="1:7">
      <c r="A1433" s="208"/>
      <c r="B1433" s="209" t="s">
        <v>727</v>
      </c>
      <c r="C1433" s="211" t="s">
        <v>968</v>
      </c>
      <c r="D1433" s="212">
        <v>10.99</v>
      </c>
      <c r="E1433" s="212">
        <v>2.12</v>
      </c>
      <c r="F1433" s="212" t="s">
        <v>306</v>
      </c>
      <c r="G1433" s="212"/>
    </row>
    <row r="1434" spans="1:7">
      <c r="A1434" s="208"/>
      <c r="B1434" s="209" t="s">
        <v>727</v>
      </c>
      <c r="C1434" s="211" t="s">
        <v>969</v>
      </c>
      <c r="D1434" s="209" t="s">
        <v>316</v>
      </c>
      <c r="E1434" s="212">
        <v>2.0499999999999998</v>
      </c>
      <c r="F1434" s="212" t="s">
        <v>3539</v>
      </c>
      <c r="G1434" s="212"/>
    </row>
    <row r="1435" spans="1:7">
      <c r="A1435" s="208"/>
      <c r="B1435" s="209" t="s">
        <v>727</v>
      </c>
      <c r="C1435" s="211" t="s">
        <v>970</v>
      </c>
      <c r="D1435" s="212">
        <v>11</v>
      </c>
      <c r="E1435" s="212">
        <v>1.61</v>
      </c>
      <c r="F1435" s="212" t="s">
        <v>3539</v>
      </c>
      <c r="G1435" s="212"/>
    </row>
    <row r="1436" spans="1:7">
      <c r="A1436" s="208"/>
      <c r="B1436" s="209" t="s">
        <v>727</v>
      </c>
      <c r="C1436" s="211" t="s">
        <v>971</v>
      </c>
      <c r="D1436" s="212">
        <v>11.81</v>
      </c>
      <c r="E1436" s="212">
        <v>2.25</v>
      </c>
      <c r="F1436" s="212" t="s">
        <v>308</v>
      </c>
      <c r="G1436" s="212"/>
    </row>
    <row r="1437" spans="1:7">
      <c r="A1437" s="208"/>
      <c r="B1437" s="209" t="s">
        <v>727</v>
      </c>
      <c r="C1437" s="211" t="s">
        <v>972</v>
      </c>
      <c r="D1437" s="212">
        <v>11.81</v>
      </c>
      <c r="E1437" s="212">
        <v>1.75</v>
      </c>
      <c r="F1437" s="212" t="s">
        <v>308</v>
      </c>
      <c r="G1437" s="209"/>
    </row>
    <row r="1438" spans="1:7">
      <c r="A1438" s="208"/>
      <c r="B1438" s="209" t="s">
        <v>727</v>
      </c>
      <c r="C1438" s="211" t="s">
        <v>973</v>
      </c>
      <c r="D1438" s="209" t="s">
        <v>1273</v>
      </c>
      <c r="E1438" s="212">
        <v>2.31</v>
      </c>
      <c r="F1438" s="212" t="s">
        <v>2370</v>
      </c>
      <c r="G1438" s="209"/>
    </row>
    <row r="1439" spans="1:7">
      <c r="A1439" s="208"/>
      <c r="B1439" s="209" t="s">
        <v>727</v>
      </c>
      <c r="C1439" s="211" t="s">
        <v>974</v>
      </c>
      <c r="D1439" s="212">
        <v>13.25</v>
      </c>
      <c r="E1439" s="212">
        <v>2.1</v>
      </c>
      <c r="F1439" s="212" t="s">
        <v>310</v>
      </c>
      <c r="G1439" s="209"/>
    </row>
    <row r="1440" spans="1:7">
      <c r="A1440" s="208"/>
      <c r="B1440" s="209" t="s">
        <v>727</v>
      </c>
      <c r="C1440" s="211" t="s">
        <v>975</v>
      </c>
      <c r="D1440" s="212">
        <v>13.25</v>
      </c>
      <c r="E1440" s="212">
        <v>1.8</v>
      </c>
      <c r="F1440" s="212" t="s">
        <v>310</v>
      </c>
      <c r="G1440" s="209"/>
    </row>
    <row r="1441" spans="1:7">
      <c r="A1441" s="208"/>
      <c r="B1441" s="209" t="s">
        <v>727</v>
      </c>
      <c r="C1441" s="211" t="s">
        <v>976</v>
      </c>
      <c r="D1441" s="212">
        <v>14.22</v>
      </c>
      <c r="E1441" s="212">
        <v>2.37</v>
      </c>
      <c r="F1441" s="212" t="s">
        <v>341</v>
      </c>
      <c r="G1441" s="209"/>
    </row>
    <row r="1442" spans="1:7">
      <c r="A1442" s="208"/>
      <c r="B1442" s="209" t="s">
        <v>727</v>
      </c>
      <c r="C1442" s="211" t="s">
        <v>977</v>
      </c>
      <c r="D1442" s="212">
        <v>11.77</v>
      </c>
      <c r="E1442" s="212">
        <v>2.2400000000000002</v>
      </c>
      <c r="F1442" s="212" t="s">
        <v>3560</v>
      </c>
      <c r="G1442" s="209"/>
    </row>
    <row r="1443" spans="1:7">
      <c r="A1443" s="208"/>
      <c r="B1443" s="209" t="s">
        <v>727</v>
      </c>
      <c r="C1443" s="211" t="s">
        <v>978</v>
      </c>
      <c r="D1443" s="209" t="s">
        <v>1274</v>
      </c>
      <c r="E1443" s="212">
        <v>1.75</v>
      </c>
      <c r="F1443" s="212" t="s">
        <v>3560</v>
      </c>
      <c r="G1443" s="209"/>
    </row>
    <row r="1444" spans="1:7">
      <c r="A1444" s="208"/>
      <c r="B1444" s="209" t="s">
        <v>728</v>
      </c>
      <c r="C1444" s="211" t="s">
        <v>791</v>
      </c>
      <c r="D1444" s="212">
        <v>9.73</v>
      </c>
      <c r="E1444" s="212">
        <v>2.0499999999999998</v>
      </c>
      <c r="F1444" s="212" t="s">
        <v>310</v>
      </c>
      <c r="G1444" s="209"/>
    </row>
    <row r="1445" spans="1:7">
      <c r="A1445" s="208"/>
      <c r="B1445" s="209" t="s">
        <v>728</v>
      </c>
      <c r="C1445" s="211" t="s">
        <v>980</v>
      </c>
      <c r="D1445" s="209" t="s">
        <v>2030</v>
      </c>
      <c r="E1445" s="212">
        <v>2.2999999999999998</v>
      </c>
      <c r="F1445" s="212" t="s">
        <v>319</v>
      </c>
      <c r="G1445" s="209"/>
    </row>
    <row r="1446" spans="1:7">
      <c r="A1446" s="208"/>
      <c r="B1446" s="209" t="s">
        <v>728</v>
      </c>
      <c r="C1446" s="211" t="s">
        <v>981</v>
      </c>
      <c r="D1446" s="212">
        <v>10.97</v>
      </c>
      <c r="E1446" s="212">
        <v>2.36</v>
      </c>
      <c r="F1446" s="212" t="s">
        <v>319</v>
      </c>
      <c r="G1446" s="212"/>
    </row>
    <row r="1447" spans="1:7">
      <c r="A1447" s="208"/>
      <c r="B1447" s="209" t="s">
        <v>728</v>
      </c>
      <c r="C1447" s="211" t="s">
        <v>982</v>
      </c>
      <c r="D1447" s="212">
        <v>10.97</v>
      </c>
      <c r="E1447" s="212">
        <v>2.2999999999999998</v>
      </c>
      <c r="F1447" s="209" t="s">
        <v>319</v>
      </c>
      <c r="G1447" s="209"/>
    </row>
    <row r="1448" spans="1:7">
      <c r="A1448" s="208"/>
      <c r="B1448" s="209" t="s">
        <v>728</v>
      </c>
      <c r="C1448" s="211" t="s">
        <v>983</v>
      </c>
      <c r="D1448" s="212">
        <v>10.97</v>
      </c>
      <c r="E1448" s="212">
        <v>2.31</v>
      </c>
      <c r="F1448" s="209" t="s">
        <v>319</v>
      </c>
      <c r="G1448" s="209"/>
    </row>
    <row r="1449" spans="1:7">
      <c r="A1449" s="208"/>
      <c r="B1449" s="209" t="s">
        <v>728</v>
      </c>
      <c r="C1449" s="211" t="s">
        <v>984</v>
      </c>
      <c r="D1449" s="209" t="s">
        <v>1275</v>
      </c>
      <c r="E1449" s="212">
        <v>2.48</v>
      </c>
      <c r="F1449" s="212" t="s">
        <v>319</v>
      </c>
      <c r="G1449" s="209"/>
    </row>
    <row r="1450" spans="1:7">
      <c r="A1450" s="208"/>
      <c r="B1450" s="209" t="s">
        <v>728</v>
      </c>
      <c r="C1450" s="211" t="s">
        <v>985</v>
      </c>
      <c r="D1450" s="212">
        <v>10.97</v>
      </c>
      <c r="E1450" s="212">
        <v>2.2799999999999998</v>
      </c>
      <c r="F1450" s="212" t="s">
        <v>319</v>
      </c>
      <c r="G1450" s="209"/>
    </row>
    <row r="1451" spans="1:7">
      <c r="A1451" s="208"/>
      <c r="B1451" s="209" t="s">
        <v>728</v>
      </c>
      <c r="C1451" s="211" t="s">
        <v>793</v>
      </c>
      <c r="D1451" s="212">
        <v>11.78</v>
      </c>
      <c r="E1451" s="212">
        <v>2.69</v>
      </c>
      <c r="F1451" s="212" t="s">
        <v>343</v>
      </c>
      <c r="G1451" s="209"/>
    </row>
    <row r="1452" spans="1:7">
      <c r="A1452" s="208"/>
      <c r="B1452" s="209" t="s">
        <v>728</v>
      </c>
      <c r="C1452" s="211" t="s">
        <v>794</v>
      </c>
      <c r="D1452" s="212">
        <v>11.78</v>
      </c>
      <c r="E1452" s="212">
        <v>2.69</v>
      </c>
      <c r="F1452" s="212" t="s">
        <v>343</v>
      </c>
      <c r="G1452" s="209"/>
    </row>
    <row r="1453" spans="1:7">
      <c r="A1453" s="208"/>
      <c r="B1453" s="209" t="s">
        <v>728</v>
      </c>
      <c r="C1453" s="211" t="s">
        <v>1412</v>
      </c>
      <c r="D1453" s="212">
        <v>11.78</v>
      </c>
      <c r="E1453" s="212">
        <v>2.65</v>
      </c>
      <c r="F1453" s="212" t="s">
        <v>343</v>
      </c>
      <c r="G1453" s="209"/>
    </row>
    <row r="1454" spans="1:7">
      <c r="A1454" s="208"/>
      <c r="B1454" s="209" t="s">
        <v>728</v>
      </c>
      <c r="C1454" s="211" t="s">
        <v>1413</v>
      </c>
      <c r="D1454" s="212">
        <v>11.78</v>
      </c>
      <c r="E1454" s="212">
        <v>2.0099999999999998</v>
      </c>
      <c r="F1454" s="212" t="s">
        <v>343</v>
      </c>
      <c r="G1454" s="212"/>
    </row>
    <row r="1455" spans="1:7">
      <c r="A1455" s="208"/>
      <c r="B1455" s="209" t="s">
        <v>728</v>
      </c>
      <c r="C1455" s="211" t="s">
        <v>987</v>
      </c>
      <c r="D1455" s="209" t="s">
        <v>1276</v>
      </c>
      <c r="E1455" s="212">
        <v>2.85</v>
      </c>
      <c r="F1455" s="212" t="s">
        <v>2343</v>
      </c>
      <c r="G1455" s="209"/>
    </row>
    <row r="1456" spans="1:7">
      <c r="A1456" s="208"/>
      <c r="B1456" s="209" t="s">
        <v>728</v>
      </c>
      <c r="C1456" s="211" t="s">
        <v>988</v>
      </c>
      <c r="D1456" s="209" t="s">
        <v>1277</v>
      </c>
      <c r="E1456" s="212">
        <v>3.07</v>
      </c>
      <c r="F1456" s="212" t="s">
        <v>321</v>
      </c>
    </row>
    <row r="1457" spans="1:6">
      <c r="A1457" s="208"/>
      <c r="B1457" s="209" t="s">
        <v>728</v>
      </c>
      <c r="C1457" s="211" t="s">
        <v>989</v>
      </c>
      <c r="D1457" s="212">
        <v>14.27</v>
      </c>
      <c r="E1457" s="212">
        <v>2.94</v>
      </c>
      <c r="F1457" s="212" t="s">
        <v>2344</v>
      </c>
    </row>
    <row r="1458" spans="1:6">
      <c r="A1458" s="208"/>
      <c r="B1458" s="209" t="s">
        <v>728</v>
      </c>
      <c r="C1458" s="211" t="s">
        <v>986</v>
      </c>
      <c r="D1458" s="212">
        <v>13.1</v>
      </c>
      <c r="E1458" s="212">
        <v>2.77</v>
      </c>
      <c r="F1458" s="209" t="s">
        <v>316</v>
      </c>
    </row>
    <row r="1459" spans="1:6">
      <c r="A1459" s="208"/>
      <c r="B1459" s="209" t="s">
        <v>730</v>
      </c>
      <c r="C1459" s="211" t="s">
        <v>1415</v>
      </c>
      <c r="D1459" s="212">
        <v>9.99</v>
      </c>
      <c r="E1459" s="212">
        <v>2.15</v>
      </c>
      <c r="F1459" s="209" t="s">
        <v>314</v>
      </c>
    </row>
    <row r="1460" spans="1:6">
      <c r="A1460" s="208"/>
      <c r="B1460" s="209" t="s">
        <v>730</v>
      </c>
      <c r="C1460" s="211" t="s">
        <v>1414</v>
      </c>
      <c r="D1460" s="212">
        <v>9.99</v>
      </c>
      <c r="E1460" s="212">
        <v>2.25</v>
      </c>
      <c r="F1460" s="209" t="s">
        <v>314</v>
      </c>
    </row>
    <row r="1461" spans="1:6">
      <c r="A1461" s="208"/>
      <c r="B1461" s="209" t="s">
        <v>731</v>
      </c>
      <c r="C1461" s="211" t="s">
        <v>996</v>
      </c>
      <c r="D1461" s="209" t="s">
        <v>1278</v>
      </c>
      <c r="E1461" s="212">
        <v>1.8</v>
      </c>
      <c r="F1461" s="212" t="s">
        <v>327</v>
      </c>
    </row>
    <row r="1462" spans="1:6">
      <c r="A1462" s="208"/>
      <c r="B1462" s="209" t="s">
        <v>731</v>
      </c>
      <c r="C1462" s="211" t="s">
        <v>997</v>
      </c>
      <c r="D1462" s="212">
        <v>9.1300000000000008</v>
      </c>
      <c r="E1462" s="212">
        <v>1.72</v>
      </c>
      <c r="F1462" s="212" t="s">
        <v>3527</v>
      </c>
    </row>
    <row r="1463" spans="1:6">
      <c r="A1463" s="208"/>
      <c r="B1463" s="209" t="s">
        <v>731</v>
      </c>
      <c r="C1463" s="211" t="s">
        <v>998</v>
      </c>
      <c r="D1463" s="212">
        <v>10.210000000000001</v>
      </c>
      <c r="E1463" s="212">
        <v>1.36</v>
      </c>
      <c r="F1463" s="212" t="s">
        <v>2372</v>
      </c>
    </row>
    <row r="1464" spans="1:6">
      <c r="A1464" s="208"/>
      <c r="B1464" s="209" t="s">
        <v>731</v>
      </c>
      <c r="C1464" s="211" t="s">
        <v>999</v>
      </c>
      <c r="D1464" s="209" t="s">
        <v>2085</v>
      </c>
      <c r="E1464" s="209" t="s">
        <v>305</v>
      </c>
      <c r="F1464" s="212" t="s">
        <v>2569</v>
      </c>
    </row>
    <row r="1465" spans="1:6">
      <c r="A1465" s="208"/>
      <c r="B1465" s="209" t="s">
        <v>731</v>
      </c>
      <c r="C1465" s="211" t="s">
        <v>1000</v>
      </c>
      <c r="D1465" s="212">
        <v>11.28</v>
      </c>
      <c r="E1465" s="212">
        <v>1.58</v>
      </c>
      <c r="F1465" s="212" t="s">
        <v>993</v>
      </c>
    </row>
    <row r="1466" spans="1:6">
      <c r="A1466" s="208"/>
      <c r="B1466" s="209" t="s">
        <v>731</v>
      </c>
      <c r="C1466" s="211" t="s">
        <v>1001</v>
      </c>
      <c r="D1466" s="212">
        <v>11.38</v>
      </c>
      <c r="E1466" s="209" t="s">
        <v>305</v>
      </c>
      <c r="F1466" s="212" t="s">
        <v>3510</v>
      </c>
    </row>
    <row r="1467" spans="1:6">
      <c r="A1467" s="208"/>
      <c r="B1467" s="209" t="s">
        <v>731</v>
      </c>
      <c r="C1467" s="211" t="s">
        <v>1002</v>
      </c>
      <c r="D1467" s="212">
        <v>11.25</v>
      </c>
      <c r="E1467" s="212">
        <v>2.36</v>
      </c>
      <c r="F1467" s="212" t="s">
        <v>341</v>
      </c>
    </row>
    <row r="1468" spans="1:6">
      <c r="A1468" s="208"/>
      <c r="B1468" s="209" t="s">
        <v>731</v>
      </c>
      <c r="C1468" s="211" t="s">
        <v>1003</v>
      </c>
      <c r="D1468" s="212">
        <v>12.57</v>
      </c>
      <c r="E1468" s="212">
        <v>1.61</v>
      </c>
      <c r="F1468" s="212" t="s">
        <v>2343</v>
      </c>
    </row>
    <row r="1469" spans="1:6">
      <c r="A1469" s="208"/>
      <c r="B1469" s="209" t="s">
        <v>731</v>
      </c>
      <c r="C1469" s="211" t="s">
        <v>1004</v>
      </c>
      <c r="D1469" s="212">
        <v>14.68</v>
      </c>
      <c r="E1469" s="212">
        <v>2.2799999999999998</v>
      </c>
      <c r="F1469" s="212" t="s">
        <v>2357</v>
      </c>
    </row>
    <row r="1470" spans="1:6">
      <c r="A1470" s="208"/>
      <c r="B1470" s="209" t="s">
        <v>732</v>
      </c>
      <c r="C1470" s="211" t="s">
        <v>45</v>
      </c>
      <c r="D1470" s="209" t="s">
        <v>1279</v>
      </c>
      <c r="E1470" s="212">
        <v>1.81</v>
      </c>
      <c r="F1470" s="212" t="s">
        <v>3508</v>
      </c>
    </row>
    <row r="1471" spans="1:6">
      <c r="A1471" s="208"/>
      <c r="B1471" s="209" t="s">
        <v>732</v>
      </c>
      <c r="C1471" s="211" t="s">
        <v>46</v>
      </c>
      <c r="D1471" s="212">
        <v>11.99</v>
      </c>
      <c r="E1471" s="212">
        <v>2.23</v>
      </c>
      <c r="F1471" s="212" t="s">
        <v>2377</v>
      </c>
    </row>
    <row r="1472" spans="1:6">
      <c r="A1472" s="208"/>
      <c r="B1472" s="209" t="s">
        <v>732</v>
      </c>
      <c r="C1472" s="211" t="s">
        <v>47</v>
      </c>
      <c r="D1472" s="209" t="s">
        <v>1985</v>
      </c>
      <c r="E1472" s="212">
        <v>2.39</v>
      </c>
      <c r="F1472" s="212" t="s">
        <v>353</v>
      </c>
    </row>
    <row r="1473" spans="1:6">
      <c r="A1473" s="208"/>
      <c r="B1473" s="209" t="s">
        <v>732</v>
      </c>
      <c r="C1473" s="211" t="s">
        <v>48</v>
      </c>
      <c r="D1473" s="212">
        <v>14.99</v>
      </c>
      <c r="E1473" s="212">
        <v>3.05</v>
      </c>
      <c r="F1473" s="212" t="s">
        <v>2339</v>
      </c>
    </row>
    <row r="1474" spans="1:6">
      <c r="A1474" s="208"/>
      <c r="B1474" s="209" t="s">
        <v>729</v>
      </c>
      <c r="C1474" s="211" t="s">
        <v>992</v>
      </c>
      <c r="D1474" s="212">
        <v>7.27</v>
      </c>
      <c r="E1474" s="212">
        <v>1.57</v>
      </c>
      <c r="F1474" s="212" t="s">
        <v>993</v>
      </c>
    </row>
    <row r="1475" spans="1:6">
      <c r="A1475" s="208"/>
      <c r="B1475" s="209" t="s">
        <v>729</v>
      </c>
      <c r="C1475" s="211" t="s">
        <v>52</v>
      </c>
      <c r="D1475" s="212">
        <v>8.6999999999999993</v>
      </c>
      <c r="E1475" s="212">
        <v>2.4</v>
      </c>
      <c r="F1475" s="212" t="s">
        <v>2359</v>
      </c>
    </row>
    <row r="1476" spans="1:6">
      <c r="A1476" s="208"/>
      <c r="B1476" s="209" t="s">
        <v>729</v>
      </c>
      <c r="C1476" s="211" t="s">
        <v>53</v>
      </c>
      <c r="D1476" s="212">
        <v>9.1999999999999993</v>
      </c>
      <c r="E1476" s="212">
        <v>2.59</v>
      </c>
      <c r="F1476" s="212" t="s">
        <v>2359</v>
      </c>
    </row>
    <row r="1477" spans="1:6">
      <c r="A1477" s="208"/>
      <c r="B1477" s="209" t="s">
        <v>729</v>
      </c>
      <c r="C1477" s="211" t="s">
        <v>54</v>
      </c>
      <c r="D1477" s="212">
        <v>9.8000000000000007</v>
      </c>
      <c r="E1477" s="212">
        <v>2.69</v>
      </c>
      <c r="F1477" s="212" t="s">
        <v>310</v>
      </c>
    </row>
    <row r="1478" spans="1:6">
      <c r="A1478" s="208"/>
      <c r="B1478" s="209" t="s">
        <v>729</v>
      </c>
      <c r="C1478" s="211" t="s">
        <v>55</v>
      </c>
      <c r="D1478" s="212">
        <v>6.53</v>
      </c>
      <c r="E1478" s="212">
        <v>1.79</v>
      </c>
      <c r="F1478" s="212" t="s">
        <v>2344</v>
      </c>
    </row>
    <row r="1479" spans="1:6">
      <c r="A1479" s="208"/>
      <c r="B1479" s="209" t="s">
        <v>5324</v>
      </c>
      <c r="C1479" s="211" t="s">
        <v>5325</v>
      </c>
      <c r="D1479" s="212" t="s">
        <v>2002</v>
      </c>
      <c r="E1479" s="212" t="s">
        <v>5326</v>
      </c>
      <c r="F1479" s="212" t="s">
        <v>5297</v>
      </c>
    </row>
    <row r="1480" spans="1:6">
      <c r="A1480" s="208"/>
      <c r="B1480" s="209" t="s">
        <v>5324</v>
      </c>
      <c r="C1480" s="211" t="s">
        <v>4640</v>
      </c>
      <c r="D1480" s="212" t="s">
        <v>4641</v>
      </c>
      <c r="E1480" s="212" t="s">
        <v>407</v>
      </c>
      <c r="F1480" s="212" t="s">
        <v>5327</v>
      </c>
    </row>
    <row r="1481" spans="1:6">
      <c r="A1481" s="208"/>
      <c r="B1481" s="209" t="s">
        <v>5324</v>
      </c>
      <c r="C1481" s="211" t="s">
        <v>470</v>
      </c>
      <c r="D1481" s="212" t="s">
        <v>1972</v>
      </c>
      <c r="E1481" s="212" t="s">
        <v>411</v>
      </c>
      <c r="F1481" s="212" t="s">
        <v>5328</v>
      </c>
    </row>
    <row r="1482" spans="1:6">
      <c r="A1482" s="208"/>
      <c r="B1482" s="209" t="s">
        <v>5324</v>
      </c>
      <c r="C1482" s="211" t="s">
        <v>5329</v>
      </c>
      <c r="D1482" s="212" t="s">
        <v>2037</v>
      </c>
      <c r="E1482" s="212" t="s">
        <v>405</v>
      </c>
      <c r="F1482" s="212" t="s">
        <v>5330</v>
      </c>
    </row>
    <row r="1483" spans="1:6">
      <c r="A1483" s="208"/>
      <c r="B1483" s="209" t="s">
        <v>733</v>
      </c>
      <c r="C1483" s="211" t="s">
        <v>63</v>
      </c>
      <c r="D1483" s="209" t="s">
        <v>1282</v>
      </c>
      <c r="E1483" s="212">
        <v>1.6</v>
      </c>
      <c r="F1483" s="212" t="s">
        <v>3510</v>
      </c>
    </row>
    <row r="1484" spans="1:6">
      <c r="A1484" s="208"/>
      <c r="B1484" s="209" t="s">
        <v>733</v>
      </c>
      <c r="C1484" s="211" t="s">
        <v>64</v>
      </c>
      <c r="D1484" s="212">
        <v>8.5</v>
      </c>
      <c r="E1484" s="212">
        <v>1.37</v>
      </c>
      <c r="F1484" s="212" t="s">
        <v>2374</v>
      </c>
    </row>
    <row r="1485" spans="1:6">
      <c r="A1485" s="208"/>
      <c r="B1485" s="209" t="s">
        <v>733</v>
      </c>
      <c r="C1485" s="211" t="s">
        <v>65</v>
      </c>
      <c r="D1485" s="212">
        <v>8.39</v>
      </c>
      <c r="E1485" s="212">
        <v>1.45</v>
      </c>
      <c r="F1485" s="212" t="s">
        <v>2366</v>
      </c>
    </row>
    <row r="1486" spans="1:6">
      <c r="A1486" s="208"/>
      <c r="B1486" s="209" t="s">
        <v>733</v>
      </c>
      <c r="C1486" s="211" t="s">
        <v>66</v>
      </c>
      <c r="D1486" s="212">
        <v>9.51</v>
      </c>
      <c r="E1486" s="212">
        <v>1.96</v>
      </c>
      <c r="F1486" s="212" t="s">
        <v>2372</v>
      </c>
    </row>
    <row r="1487" spans="1:6">
      <c r="A1487" s="208"/>
      <c r="B1487" s="209" t="s">
        <v>733</v>
      </c>
      <c r="C1487" s="211" t="s">
        <v>67</v>
      </c>
      <c r="D1487" s="212">
        <v>7.23</v>
      </c>
      <c r="E1487" s="212">
        <v>1.4</v>
      </c>
      <c r="F1487" s="212" t="s">
        <v>2372</v>
      </c>
    </row>
    <row r="1488" spans="1:6">
      <c r="A1488" s="208"/>
      <c r="B1488" s="209" t="s">
        <v>733</v>
      </c>
      <c r="C1488" s="211" t="s">
        <v>68</v>
      </c>
      <c r="D1488" s="212">
        <v>7.23</v>
      </c>
      <c r="E1488" s="212">
        <v>1.6</v>
      </c>
      <c r="F1488" s="212" t="s">
        <v>2372</v>
      </c>
    </row>
    <row r="1489" spans="1:9">
      <c r="A1489" s="208"/>
      <c r="B1489" s="209" t="s">
        <v>733</v>
      </c>
      <c r="C1489" s="211" t="s">
        <v>69</v>
      </c>
      <c r="D1489" s="212">
        <v>7.23</v>
      </c>
      <c r="E1489" s="212">
        <v>1.6</v>
      </c>
      <c r="F1489" s="212" t="s">
        <v>2372</v>
      </c>
    </row>
    <row r="1490" spans="1:9">
      <c r="A1490" s="208"/>
      <c r="B1490" s="209" t="s">
        <v>734</v>
      </c>
      <c r="C1490" s="211" t="s">
        <v>70</v>
      </c>
      <c r="D1490" s="209" t="s">
        <v>2030</v>
      </c>
      <c r="E1490" s="212">
        <v>2.1800000000000002</v>
      </c>
      <c r="F1490" s="212" t="s">
        <v>2340</v>
      </c>
    </row>
    <row r="1491" spans="1:9">
      <c r="A1491" s="208"/>
      <c r="B1491" s="209" t="s">
        <v>734</v>
      </c>
      <c r="C1491" s="211" t="s">
        <v>71</v>
      </c>
      <c r="D1491" s="212">
        <v>11.28</v>
      </c>
      <c r="E1491" s="212">
        <v>2.08</v>
      </c>
      <c r="F1491" s="212" t="s">
        <v>332</v>
      </c>
    </row>
    <row r="1492" spans="1:9">
      <c r="A1492" s="208"/>
      <c r="B1492" s="209" t="s">
        <v>734</v>
      </c>
      <c r="C1492" s="211" t="s">
        <v>72</v>
      </c>
      <c r="D1492" s="212">
        <v>11.56</v>
      </c>
      <c r="E1492" s="212">
        <v>2.17</v>
      </c>
      <c r="F1492" s="212" t="s">
        <v>2377</v>
      </c>
      <c r="I1492" s="64" t="s">
        <v>560</v>
      </c>
    </row>
    <row r="1493" spans="1:9">
      <c r="A1493" s="208"/>
      <c r="B1493" s="209" t="s">
        <v>735</v>
      </c>
      <c r="C1493" s="211" t="s">
        <v>78</v>
      </c>
      <c r="D1493" s="209" t="s">
        <v>1284</v>
      </c>
      <c r="E1493" s="212">
        <v>1.52</v>
      </c>
      <c r="F1493" s="212" t="s">
        <v>3510</v>
      </c>
    </row>
    <row r="1494" spans="1:9">
      <c r="A1494" s="208"/>
      <c r="B1494" s="209" t="s">
        <v>735</v>
      </c>
      <c r="C1494" s="211" t="s">
        <v>79</v>
      </c>
      <c r="D1494" s="212">
        <v>8.6</v>
      </c>
      <c r="E1494" s="212">
        <v>2</v>
      </c>
      <c r="F1494" s="209" t="s">
        <v>319</v>
      </c>
    </row>
    <row r="1495" spans="1:9">
      <c r="A1495" s="208"/>
      <c r="B1495" s="209" t="s">
        <v>735</v>
      </c>
      <c r="C1495" s="211" t="s">
        <v>80</v>
      </c>
      <c r="D1495" s="209" t="s">
        <v>1285</v>
      </c>
      <c r="E1495" s="212">
        <v>1.71</v>
      </c>
      <c r="F1495" s="212" t="s">
        <v>3510</v>
      </c>
    </row>
    <row r="1496" spans="1:9">
      <c r="A1496" s="208"/>
      <c r="B1496" s="209" t="s">
        <v>735</v>
      </c>
      <c r="C1496" s="211" t="s">
        <v>81</v>
      </c>
      <c r="D1496" s="209" t="s">
        <v>1286</v>
      </c>
      <c r="E1496" s="212">
        <v>1.9</v>
      </c>
      <c r="F1496" s="212" t="s">
        <v>3530</v>
      </c>
    </row>
    <row r="1497" spans="1:9">
      <c r="A1497" s="208"/>
      <c r="B1497" s="209" t="s">
        <v>736</v>
      </c>
      <c r="C1497" s="211" t="s">
        <v>76</v>
      </c>
      <c r="D1497" s="212">
        <v>9.4600000000000009</v>
      </c>
      <c r="E1497" s="212">
        <v>1.86</v>
      </c>
      <c r="F1497" s="209" t="s">
        <v>332</v>
      </c>
    </row>
    <row r="1498" spans="1:9">
      <c r="A1498" s="208" t="s">
        <v>2342</v>
      </c>
      <c r="B1498" s="209" t="s">
        <v>736</v>
      </c>
      <c r="C1498" s="211" t="s">
        <v>77</v>
      </c>
      <c r="D1498" s="212">
        <v>11.39</v>
      </c>
      <c r="E1498" s="212">
        <v>2.0499999999999998</v>
      </c>
      <c r="F1498" s="209" t="s">
        <v>326</v>
      </c>
    </row>
    <row r="1499" spans="1:9">
      <c r="A1499" s="208"/>
      <c r="B1499" s="209" t="s">
        <v>2663</v>
      </c>
      <c r="C1499" s="211" t="s">
        <v>2959</v>
      </c>
      <c r="D1499" s="212">
        <v>10.81</v>
      </c>
      <c r="E1499" s="212">
        <v>1.52</v>
      </c>
      <c r="F1499" s="212" t="s">
        <v>3560</v>
      </c>
    </row>
    <row r="1500" spans="1:9">
      <c r="A1500" s="208"/>
      <c r="B1500" s="209" t="s">
        <v>2663</v>
      </c>
      <c r="C1500" s="211" t="s">
        <v>4102</v>
      </c>
      <c r="D1500" s="209" t="s">
        <v>2059</v>
      </c>
      <c r="E1500" s="212">
        <v>1.65</v>
      </c>
      <c r="F1500" s="212" t="s">
        <v>2372</v>
      </c>
    </row>
    <row r="1501" spans="1:9">
      <c r="A1501" s="208"/>
      <c r="B1501" s="209" t="s">
        <v>2663</v>
      </c>
      <c r="C1501" s="211" t="s">
        <v>4103</v>
      </c>
      <c r="D1501" s="212">
        <v>9.7100000000000009</v>
      </c>
      <c r="E1501" s="212">
        <v>1.22</v>
      </c>
      <c r="F1501" s="212" t="s">
        <v>2372</v>
      </c>
    </row>
    <row r="1502" spans="1:9">
      <c r="A1502" s="208"/>
      <c r="B1502" s="209" t="s">
        <v>2663</v>
      </c>
      <c r="C1502" s="211" t="s">
        <v>4115</v>
      </c>
      <c r="D1502" s="212">
        <v>7.32</v>
      </c>
      <c r="E1502" s="212">
        <v>1.53</v>
      </c>
      <c r="F1502" s="212" t="s">
        <v>2357</v>
      </c>
    </row>
    <row r="1503" spans="1:9">
      <c r="A1503" s="208"/>
      <c r="B1503" s="209" t="s">
        <v>2663</v>
      </c>
      <c r="C1503" s="211" t="s">
        <v>1416</v>
      </c>
      <c r="D1503" s="212">
        <v>8.89</v>
      </c>
      <c r="E1503" s="212">
        <v>1.6</v>
      </c>
      <c r="F1503" s="212" t="s">
        <v>327</v>
      </c>
    </row>
    <row r="1504" spans="1:9">
      <c r="A1504" s="208"/>
      <c r="B1504" s="209" t="s">
        <v>2663</v>
      </c>
      <c r="C1504" s="211" t="s">
        <v>1417</v>
      </c>
      <c r="D1504" s="212">
        <v>8.89</v>
      </c>
      <c r="E1504" s="212">
        <v>1.73</v>
      </c>
      <c r="F1504" s="212" t="s">
        <v>327</v>
      </c>
    </row>
    <row r="1505" spans="1:6">
      <c r="A1505" s="208"/>
      <c r="B1505" s="209" t="s">
        <v>2663</v>
      </c>
      <c r="C1505" s="211" t="s">
        <v>4116</v>
      </c>
      <c r="D1505" s="212">
        <v>10.130000000000001</v>
      </c>
      <c r="E1505" s="212">
        <v>1.98</v>
      </c>
      <c r="F1505" s="212" t="s">
        <v>341</v>
      </c>
    </row>
    <row r="1506" spans="1:6">
      <c r="A1506" s="208"/>
      <c r="B1506" s="209" t="s">
        <v>2663</v>
      </c>
      <c r="C1506" s="211" t="s">
        <v>4117</v>
      </c>
      <c r="D1506" s="212">
        <v>10.32</v>
      </c>
      <c r="E1506" s="212">
        <v>2</v>
      </c>
      <c r="F1506" s="212" t="s">
        <v>2370</v>
      </c>
    </row>
    <row r="1507" spans="1:6">
      <c r="A1507" s="208"/>
      <c r="B1507" s="209" t="s">
        <v>2663</v>
      </c>
      <c r="C1507" s="211" t="s">
        <v>4118</v>
      </c>
      <c r="D1507" s="212">
        <v>10.220000000000001</v>
      </c>
      <c r="E1507" s="212">
        <v>2</v>
      </c>
      <c r="F1507" s="212" t="s">
        <v>2347</v>
      </c>
    </row>
    <row r="1508" spans="1:6">
      <c r="A1508" s="208"/>
      <c r="B1508" s="209" t="s">
        <v>2663</v>
      </c>
      <c r="C1508" s="211" t="s">
        <v>3355</v>
      </c>
      <c r="D1508" s="212">
        <v>8.7799999999999994</v>
      </c>
      <c r="E1508" s="212">
        <v>0.98</v>
      </c>
      <c r="F1508" s="212" t="s">
        <v>2372</v>
      </c>
    </row>
    <row r="1509" spans="1:6">
      <c r="A1509" s="208"/>
      <c r="B1509" s="209" t="s">
        <v>2663</v>
      </c>
      <c r="C1509" s="211" t="s">
        <v>3356</v>
      </c>
      <c r="D1509" s="212">
        <v>8.7799999999999994</v>
      </c>
      <c r="E1509" s="212">
        <v>1.62</v>
      </c>
      <c r="F1509" s="212" t="s">
        <v>2372</v>
      </c>
    </row>
    <row r="1510" spans="1:6">
      <c r="A1510" s="208"/>
      <c r="B1510" s="209" t="s">
        <v>2663</v>
      </c>
      <c r="C1510" s="211" t="s">
        <v>2545</v>
      </c>
      <c r="D1510" s="212">
        <v>9.3000000000000007</v>
      </c>
      <c r="E1510" s="212">
        <v>1.65</v>
      </c>
      <c r="F1510" s="212" t="s">
        <v>308</v>
      </c>
    </row>
    <row r="1511" spans="1:6">
      <c r="A1511" s="208"/>
      <c r="B1511" s="209" t="s">
        <v>2663</v>
      </c>
      <c r="C1511" s="211" t="s">
        <v>2546</v>
      </c>
      <c r="D1511" s="212">
        <v>10.15</v>
      </c>
      <c r="E1511" s="212">
        <v>1.68</v>
      </c>
      <c r="F1511" s="212" t="s">
        <v>2343</v>
      </c>
    </row>
    <row r="1512" spans="1:6">
      <c r="A1512" s="208"/>
      <c r="B1512" s="209" t="s">
        <v>2663</v>
      </c>
      <c r="C1512" s="211" t="s">
        <v>1786</v>
      </c>
      <c r="D1512" s="212">
        <v>10.15</v>
      </c>
      <c r="E1512" s="212">
        <v>1.7</v>
      </c>
      <c r="F1512" s="212" t="s">
        <v>2980</v>
      </c>
    </row>
    <row r="1513" spans="1:6">
      <c r="A1513" s="208"/>
      <c r="B1513" s="209" t="s">
        <v>2663</v>
      </c>
      <c r="C1513" s="211" t="s">
        <v>1787</v>
      </c>
      <c r="D1513" s="212">
        <v>11.38</v>
      </c>
      <c r="E1513" s="212">
        <v>1.83</v>
      </c>
      <c r="F1513" s="209" t="s">
        <v>2340</v>
      </c>
    </row>
    <row r="1514" spans="1:6">
      <c r="A1514" s="208"/>
      <c r="B1514" s="209" t="s">
        <v>2663</v>
      </c>
      <c r="C1514" s="211" t="s">
        <v>3968</v>
      </c>
      <c r="D1514" s="212">
        <v>7.9</v>
      </c>
      <c r="E1514" s="212">
        <v>1.7</v>
      </c>
      <c r="F1514" s="212" t="s">
        <v>3530</v>
      </c>
    </row>
    <row r="1515" spans="1:6">
      <c r="A1515" s="208"/>
      <c r="B1515" s="209" t="s">
        <v>2663</v>
      </c>
      <c r="C1515" s="211" t="s">
        <v>2148</v>
      </c>
      <c r="D1515" s="212">
        <v>10.15</v>
      </c>
      <c r="E1515" s="212">
        <v>1.7</v>
      </c>
      <c r="F1515" s="212" t="s">
        <v>2980</v>
      </c>
    </row>
    <row r="1516" spans="1:6">
      <c r="A1516" s="208"/>
      <c r="B1516" s="209" t="s">
        <v>2663</v>
      </c>
      <c r="C1516" s="211" t="s">
        <v>795</v>
      </c>
      <c r="D1516" s="212">
        <v>10.15</v>
      </c>
      <c r="E1516" s="212">
        <v>1.7</v>
      </c>
      <c r="F1516" s="212" t="s">
        <v>2980</v>
      </c>
    </row>
    <row r="1517" spans="1:6">
      <c r="A1517" s="208"/>
      <c r="B1517" s="209" t="s">
        <v>2663</v>
      </c>
      <c r="C1517" s="211" t="s">
        <v>5621</v>
      </c>
      <c r="D1517" s="212" t="s">
        <v>5622</v>
      </c>
      <c r="E1517" s="212" t="s">
        <v>5623</v>
      </c>
      <c r="F1517" s="212" t="s">
        <v>5624</v>
      </c>
    </row>
    <row r="1518" spans="1:6">
      <c r="A1518" s="208"/>
      <c r="B1518" s="209" t="s">
        <v>2663</v>
      </c>
      <c r="C1518" s="211" t="s">
        <v>75</v>
      </c>
      <c r="D1518" s="212">
        <v>11.38</v>
      </c>
      <c r="E1518" s="212">
        <v>1.83</v>
      </c>
      <c r="F1518" s="212" t="s">
        <v>2340</v>
      </c>
    </row>
    <row r="1519" spans="1:6">
      <c r="A1519" s="208"/>
      <c r="B1519" s="209" t="s">
        <v>2867</v>
      </c>
      <c r="C1519" s="211" t="s">
        <v>4039</v>
      </c>
      <c r="D1519" s="209" t="s">
        <v>2081</v>
      </c>
      <c r="E1519" s="212">
        <v>2.14</v>
      </c>
      <c r="F1519" s="212" t="s">
        <v>3539</v>
      </c>
    </row>
    <row r="1520" spans="1:6">
      <c r="A1520" s="208"/>
      <c r="B1520" s="209" t="s">
        <v>2867</v>
      </c>
      <c r="C1520" s="211" t="s">
        <v>4040</v>
      </c>
      <c r="D1520" s="212">
        <v>12.1</v>
      </c>
      <c r="E1520" s="212">
        <v>2.41</v>
      </c>
      <c r="F1520" s="212" t="s">
        <v>343</v>
      </c>
    </row>
    <row r="1521" spans="1:6">
      <c r="A1521" s="208"/>
      <c r="B1521" s="209" t="s">
        <v>2867</v>
      </c>
      <c r="C1521" s="211" t="s">
        <v>94</v>
      </c>
      <c r="D1521" s="212">
        <v>10</v>
      </c>
      <c r="E1521" s="212">
        <v>1.9</v>
      </c>
      <c r="F1521" s="212" t="s">
        <v>326</v>
      </c>
    </row>
    <row r="1522" spans="1:6">
      <c r="A1522" s="208"/>
      <c r="B1522" s="209" t="s">
        <v>2867</v>
      </c>
      <c r="C1522" s="211" t="s">
        <v>95</v>
      </c>
      <c r="D1522" s="209" t="s">
        <v>1288</v>
      </c>
      <c r="E1522" s="212">
        <v>2</v>
      </c>
      <c r="F1522" s="212" t="s">
        <v>2377</v>
      </c>
    </row>
    <row r="1523" spans="1:6">
      <c r="A1523" s="208"/>
      <c r="B1523" s="209" t="s">
        <v>2867</v>
      </c>
      <c r="C1523" s="211" t="s">
        <v>1336</v>
      </c>
      <c r="D1523" s="212">
        <v>10.029999999999999</v>
      </c>
      <c r="E1523" s="212">
        <v>1.91</v>
      </c>
      <c r="F1523" s="212" t="s">
        <v>332</v>
      </c>
    </row>
    <row r="1524" spans="1:6">
      <c r="A1524" s="208"/>
      <c r="B1524" s="209" t="s">
        <v>2867</v>
      </c>
      <c r="C1524" s="211" t="s">
        <v>1421</v>
      </c>
      <c r="D1524" s="212">
        <v>9.0299999999999994</v>
      </c>
      <c r="E1524" s="212">
        <v>1.55</v>
      </c>
      <c r="F1524" s="212" t="s">
        <v>2341</v>
      </c>
    </row>
    <row r="1525" spans="1:6">
      <c r="A1525" s="208"/>
      <c r="B1525" s="209" t="s">
        <v>2867</v>
      </c>
      <c r="C1525" s="211" t="s">
        <v>1419</v>
      </c>
      <c r="D1525" s="209" t="s">
        <v>1289</v>
      </c>
      <c r="E1525" s="212">
        <v>1.7</v>
      </c>
      <c r="F1525" s="212" t="s">
        <v>2341</v>
      </c>
    </row>
    <row r="1526" spans="1:6">
      <c r="A1526" s="208"/>
      <c r="B1526" s="209" t="s">
        <v>2867</v>
      </c>
      <c r="C1526" s="211" t="s">
        <v>1420</v>
      </c>
      <c r="D1526" s="212">
        <v>9.0299999999999994</v>
      </c>
      <c r="E1526" s="212">
        <v>1.7</v>
      </c>
      <c r="F1526" s="212" t="s">
        <v>2341</v>
      </c>
    </row>
    <row r="1527" spans="1:6">
      <c r="A1527" s="208"/>
      <c r="B1527" s="209" t="s">
        <v>2867</v>
      </c>
      <c r="C1527" s="211" t="s">
        <v>1422</v>
      </c>
      <c r="D1527" s="212">
        <v>10.06</v>
      </c>
      <c r="E1527" s="212">
        <v>1.81</v>
      </c>
      <c r="F1527" s="212" t="s">
        <v>2341</v>
      </c>
    </row>
    <row r="1528" spans="1:6">
      <c r="A1528" s="208"/>
      <c r="B1528" s="209" t="s">
        <v>2867</v>
      </c>
      <c r="C1528" s="211" t="s">
        <v>1423</v>
      </c>
      <c r="D1528" s="212">
        <v>10.06</v>
      </c>
      <c r="E1528" s="212">
        <v>2.15</v>
      </c>
      <c r="F1528" s="212" t="s">
        <v>2341</v>
      </c>
    </row>
    <row r="1529" spans="1:6">
      <c r="A1529" s="208"/>
      <c r="B1529" s="209" t="s">
        <v>2867</v>
      </c>
      <c r="C1529" s="211" t="s">
        <v>1337</v>
      </c>
      <c r="D1529" s="212">
        <v>10.36</v>
      </c>
      <c r="E1529" s="212">
        <v>1.89</v>
      </c>
      <c r="F1529" s="209" t="s">
        <v>2348</v>
      </c>
    </row>
    <row r="1530" spans="1:6">
      <c r="A1530" s="208"/>
      <c r="B1530" s="209" t="s">
        <v>2867</v>
      </c>
      <c r="C1530" s="211" t="s">
        <v>1338</v>
      </c>
      <c r="D1530" s="212">
        <v>10.220000000000001</v>
      </c>
      <c r="E1530" s="212">
        <v>1.85</v>
      </c>
      <c r="F1530" s="212" t="s">
        <v>329</v>
      </c>
    </row>
    <row r="1531" spans="1:6">
      <c r="A1531" s="208"/>
      <c r="B1531" s="209" t="s">
        <v>2867</v>
      </c>
      <c r="C1531" s="211" t="s">
        <v>796</v>
      </c>
      <c r="D1531" s="212">
        <v>10.61</v>
      </c>
      <c r="E1531" s="212">
        <v>2.15</v>
      </c>
      <c r="F1531" s="212" t="s">
        <v>2347</v>
      </c>
    </row>
    <row r="1532" spans="1:6">
      <c r="A1532" s="208"/>
      <c r="B1532" s="209" t="s">
        <v>2867</v>
      </c>
      <c r="C1532" s="211" t="s">
        <v>1424</v>
      </c>
      <c r="D1532" s="212">
        <v>10.72</v>
      </c>
      <c r="E1532" s="212">
        <v>1.9</v>
      </c>
      <c r="F1532" s="212" t="s">
        <v>353</v>
      </c>
    </row>
    <row r="1533" spans="1:6">
      <c r="A1533" s="208"/>
      <c r="B1533" s="209" t="s">
        <v>2867</v>
      </c>
      <c r="C1533" s="211" t="s">
        <v>1426</v>
      </c>
      <c r="D1533" s="212">
        <v>10.72</v>
      </c>
      <c r="E1533" s="212">
        <v>2.0499999999999998</v>
      </c>
      <c r="F1533" s="212" t="s">
        <v>353</v>
      </c>
    </row>
    <row r="1534" spans="1:6">
      <c r="A1534" s="208"/>
      <c r="B1534" s="209" t="s">
        <v>2867</v>
      </c>
      <c r="C1534" s="211" t="s">
        <v>1425</v>
      </c>
      <c r="D1534" s="212">
        <v>10.72</v>
      </c>
      <c r="E1534" s="212">
        <v>2.2400000000000002</v>
      </c>
      <c r="F1534" s="212" t="s">
        <v>353</v>
      </c>
    </row>
    <row r="1535" spans="1:6">
      <c r="A1535" s="208"/>
      <c r="B1535" s="209" t="s">
        <v>2867</v>
      </c>
      <c r="C1535" s="211" t="s">
        <v>1427</v>
      </c>
      <c r="D1535" s="212">
        <v>11.35</v>
      </c>
      <c r="E1535" s="212">
        <v>1.98</v>
      </c>
      <c r="F1535" s="212" t="s">
        <v>321</v>
      </c>
    </row>
    <row r="1536" spans="1:6">
      <c r="A1536" s="208" t="s">
        <v>2342</v>
      </c>
      <c r="B1536" s="209" t="s">
        <v>2867</v>
      </c>
      <c r="C1536" s="211" t="s">
        <v>1428</v>
      </c>
      <c r="D1536" s="212">
        <v>11.35</v>
      </c>
      <c r="E1536" s="212">
        <v>2.3199999999999998</v>
      </c>
      <c r="F1536" s="212" t="s">
        <v>321</v>
      </c>
    </row>
    <row r="1537" spans="1:6">
      <c r="A1537" s="208"/>
      <c r="B1537" s="209" t="s">
        <v>2867</v>
      </c>
      <c r="C1537" s="211" t="s">
        <v>1429</v>
      </c>
      <c r="D1537" s="212">
        <v>11.02</v>
      </c>
      <c r="E1537" s="212">
        <v>1.98</v>
      </c>
      <c r="F1537" s="212" t="s">
        <v>2980</v>
      </c>
    </row>
    <row r="1538" spans="1:6">
      <c r="A1538" s="208"/>
      <c r="B1538" s="209" t="s">
        <v>2867</v>
      </c>
      <c r="C1538" s="211" t="s">
        <v>1430</v>
      </c>
      <c r="D1538" s="209" t="s">
        <v>2029</v>
      </c>
      <c r="E1538" s="212">
        <v>2</v>
      </c>
      <c r="F1538" s="212" t="s">
        <v>2980</v>
      </c>
    </row>
    <row r="1539" spans="1:6">
      <c r="A1539" s="208"/>
      <c r="B1539" s="209" t="s">
        <v>2867</v>
      </c>
      <c r="C1539" s="211" t="s">
        <v>1339</v>
      </c>
      <c r="D1539" s="209" t="s">
        <v>1290</v>
      </c>
      <c r="E1539" s="212">
        <v>2.0099999999999998</v>
      </c>
      <c r="F1539" s="212" t="s">
        <v>3539</v>
      </c>
    </row>
    <row r="1540" spans="1:6">
      <c r="A1540" s="208"/>
      <c r="B1540" s="209" t="s">
        <v>2867</v>
      </c>
      <c r="C1540" s="211" t="s">
        <v>5404</v>
      </c>
      <c r="D1540" s="209" t="s">
        <v>5407</v>
      </c>
      <c r="E1540" s="212" t="s">
        <v>407</v>
      </c>
      <c r="F1540" s="212" t="s">
        <v>5297</v>
      </c>
    </row>
    <row r="1541" spans="1:6">
      <c r="A1541" s="208"/>
      <c r="B1541" s="209" t="s">
        <v>2867</v>
      </c>
      <c r="C1541" s="211" t="s">
        <v>5402</v>
      </c>
      <c r="D1541" s="209" t="s">
        <v>556</v>
      </c>
      <c r="E1541" s="209" t="s">
        <v>405</v>
      </c>
      <c r="F1541" s="209" t="s">
        <v>2083</v>
      </c>
    </row>
    <row r="1542" spans="1:6">
      <c r="A1542" s="208"/>
      <c r="B1542" s="209" t="s">
        <v>2867</v>
      </c>
      <c r="C1542" s="211" t="s">
        <v>5403</v>
      </c>
      <c r="D1542" s="209" t="s">
        <v>556</v>
      </c>
      <c r="E1542" s="209" t="s">
        <v>480</v>
      </c>
      <c r="F1542" s="209" t="s">
        <v>2083</v>
      </c>
    </row>
    <row r="1543" spans="1:6">
      <c r="A1543" s="208"/>
      <c r="B1543" s="209" t="s">
        <v>2867</v>
      </c>
      <c r="C1543" s="211" t="s">
        <v>5590</v>
      </c>
      <c r="D1543" s="209" t="s">
        <v>2065</v>
      </c>
      <c r="E1543" s="209" t="s">
        <v>405</v>
      </c>
      <c r="F1543" s="209" t="s">
        <v>5467</v>
      </c>
    </row>
    <row r="1544" spans="1:6">
      <c r="A1544" s="208"/>
      <c r="B1544" s="209" t="s">
        <v>2867</v>
      </c>
      <c r="C1544" s="211" t="s">
        <v>5591</v>
      </c>
      <c r="D1544" s="209" t="s">
        <v>2065</v>
      </c>
      <c r="E1544" s="209" t="s">
        <v>480</v>
      </c>
      <c r="F1544" s="209" t="s">
        <v>5467</v>
      </c>
    </row>
    <row r="1545" spans="1:6">
      <c r="A1545" s="208"/>
      <c r="B1545" s="209" t="s">
        <v>2867</v>
      </c>
      <c r="C1545" s="211" t="s">
        <v>5405</v>
      </c>
      <c r="D1545" s="209" t="s">
        <v>5408</v>
      </c>
      <c r="E1545" s="209" t="s">
        <v>1658</v>
      </c>
      <c r="F1545" s="209">
        <v>2019</v>
      </c>
    </row>
    <row r="1546" spans="1:6">
      <c r="A1546" s="208"/>
      <c r="B1546" s="209" t="s">
        <v>2867</v>
      </c>
      <c r="C1546" s="211" t="s">
        <v>5637</v>
      </c>
      <c r="D1546" s="209">
        <v>13.49</v>
      </c>
      <c r="E1546" s="209" t="s">
        <v>480</v>
      </c>
      <c r="F1546" s="209">
        <v>2019</v>
      </c>
    </row>
    <row r="1547" spans="1:6">
      <c r="A1547" s="208"/>
      <c r="B1547" s="209" t="s">
        <v>2867</v>
      </c>
      <c r="C1547" s="211" t="s">
        <v>5406</v>
      </c>
      <c r="D1547" s="209" t="s">
        <v>5409</v>
      </c>
      <c r="E1547" s="209" t="s">
        <v>411</v>
      </c>
      <c r="F1547" s="209">
        <v>2018</v>
      </c>
    </row>
    <row r="1548" spans="1:6">
      <c r="A1548" s="208"/>
      <c r="B1548" s="209" t="s">
        <v>2867</v>
      </c>
      <c r="C1548" s="211" t="s">
        <v>5413</v>
      </c>
      <c r="D1548" s="209" t="s">
        <v>5409</v>
      </c>
      <c r="E1548" s="209" t="s">
        <v>5412</v>
      </c>
      <c r="F1548" s="209">
        <v>2018</v>
      </c>
    </row>
    <row r="1549" spans="1:6">
      <c r="A1549" s="208"/>
      <c r="B1549" s="209" t="s">
        <v>2867</v>
      </c>
      <c r="C1549" s="211" t="s">
        <v>1431</v>
      </c>
      <c r="D1549" s="212">
        <v>12.19</v>
      </c>
      <c r="E1549" s="212">
        <v>2.1</v>
      </c>
      <c r="F1549" s="212" t="s">
        <v>321</v>
      </c>
    </row>
    <row r="1550" spans="1:6">
      <c r="A1550" s="208"/>
      <c r="B1550" s="209" t="s">
        <v>2867</v>
      </c>
      <c r="C1550" s="211" t="s">
        <v>1432</v>
      </c>
      <c r="D1550" s="209" t="s">
        <v>1291</v>
      </c>
      <c r="E1550" s="212">
        <v>2.35</v>
      </c>
      <c r="F1550" s="212" t="s">
        <v>321</v>
      </c>
    </row>
    <row r="1551" spans="1:6">
      <c r="A1551" s="208"/>
      <c r="B1551" s="209" t="s">
        <v>2867</v>
      </c>
      <c r="C1551" s="211" t="s">
        <v>1434</v>
      </c>
      <c r="D1551" s="212">
        <v>12.04</v>
      </c>
      <c r="E1551" s="212">
        <v>2.13</v>
      </c>
      <c r="F1551" s="212" t="s">
        <v>306</v>
      </c>
    </row>
    <row r="1552" spans="1:6">
      <c r="A1552" s="208"/>
      <c r="B1552" s="209" t="s">
        <v>2867</v>
      </c>
      <c r="C1552" s="211" t="s">
        <v>1433</v>
      </c>
      <c r="D1552" s="212">
        <v>12.04</v>
      </c>
      <c r="E1552" s="212">
        <v>2.2400000000000002</v>
      </c>
      <c r="F1552" s="212" t="s">
        <v>306</v>
      </c>
    </row>
    <row r="1553" spans="1:6">
      <c r="A1553" s="208"/>
      <c r="B1553" s="209" t="s">
        <v>2867</v>
      </c>
      <c r="C1553" s="211" t="s">
        <v>1340</v>
      </c>
      <c r="D1553" s="212">
        <v>12.34</v>
      </c>
      <c r="E1553" s="212">
        <v>2.5</v>
      </c>
      <c r="F1553" s="209" t="s">
        <v>2348</v>
      </c>
    </row>
    <row r="1554" spans="1:6">
      <c r="A1554" s="208"/>
      <c r="B1554" s="209" t="s">
        <v>2867</v>
      </c>
      <c r="C1554" s="211" t="s">
        <v>1341</v>
      </c>
      <c r="D1554" s="209" t="s">
        <v>1292</v>
      </c>
      <c r="E1554" s="212">
        <v>2.1</v>
      </c>
      <c r="F1554" s="212" t="s">
        <v>2340</v>
      </c>
    </row>
    <row r="1555" spans="1:6">
      <c r="A1555" s="208"/>
      <c r="B1555" s="209" t="s">
        <v>2867</v>
      </c>
      <c r="C1555" s="211" t="s">
        <v>1342</v>
      </c>
      <c r="D1555" s="209" t="s">
        <v>1292</v>
      </c>
      <c r="E1555" s="212">
        <v>2.17</v>
      </c>
      <c r="F1555" s="212" t="s">
        <v>2340</v>
      </c>
    </row>
    <row r="1556" spans="1:6">
      <c r="A1556" s="208"/>
      <c r="B1556" s="209" t="s">
        <v>2867</v>
      </c>
      <c r="C1556" s="211" t="s">
        <v>1435</v>
      </c>
      <c r="D1556" s="212">
        <v>12.94</v>
      </c>
      <c r="E1556" s="212">
        <v>2.2000000000000002</v>
      </c>
      <c r="F1556" s="212" t="s">
        <v>2345</v>
      </c>
    </row>
    <row r="1557" spans="1:6">
      <c r="A1557" s="208"/>
      <c r="B1557" s="209" t="s">
        <v>2867</v>
      </c>
      <c r="C1557" s="211" t="s">
        <v>1343</v>
      </c>
      <c r="D1557" s="212">
        <v>13.53</v>
      </c>
      <c r="E1557" s="212">
        <v>2.35</v>
      </c>
      <c r="F1557" s="212" t="s">
        <v>353</v>
      </c>
    </row>
    <row r="1558" spans="1:6">
      <c r="A1558" s="208"/>
      <c r="B1558" s="209" t="s">
        <v>2867</v>
      </c>
      <c r="C1558" s="211" t="s">
        <v>1344</v>
      </c>
      <c r="D1558" s="212">
        <v>13.53</v>
      </c>
      <c r="E1558" s="212">
        <v>2.2999999999999998</v>
      </c>
      <c r="F1558" s="212" t="s">
        <v>353</v>
      </c>
    </row>
    <row r="1559" spans="1:6">
      <c r="A1559" s="208"/>
      <c r="B1559" s="209" t="s">
        <v>2867</v>
      </c>
      <c r="C1559" s="211" t="s">
        <v>1345</v>
      </c>
      <c r="D1559" s="212">
        <v>13.53</v>
      </c>
      <c r="E1559" s="212">
        <v>2.35</v>
      </c>
      <c r="F1559" s="212" t="s">
        <v>353</v>
      </c>
    </row>
    <row r="1560" spans="1:6">
      <c r="A1560" s="208"/>
      <c r="B1560" s="209" t="s">
        <v>2867</v>
      </c>
      <c r="C1560" s="211" t="s">
        <v>1346</v>
      </c>
      <c r="D1560" s="212">
        <v>13.47</v>
      </c>
      <c r="E1560" s="212">
        <v>2.5</v>
      </c>
      <c r="F1560" s="212" t="s">
        <v>324</v>
      </c>
    </row>
    <row r="1561" spans="1:6">
      <c r="A1561" s="208"/>
      <c r="B1561" s="209" t="s">
        <v>2867</v>
      </c>
      <c r="C1561" s="211" t="s">
        <v>1436</v>
      </c>
      <c r="D1561" s="212">
        <v>14.01</v>
      </c>
      <c r="E1561" s="212">
        <v>2.35</v>
      </c>
      <c r="F1561" s="212" t="s">
        <v>2345</v>
      </c>
    </row>
    <row r="1562" spans="1:6">
      <c r="A1562" s="208"/>
      <c r="B1562" s="209" t="s">
        <v>2867</v>
      </c>
      <c r="C1562" s="211" t="s">
        <v>1437</v>
      </c>
      <c r="D1562" s="212">
        <v>14.01</v>
      </c>
      <c r="E1562" s="212">
        <v>2.7</v>
      </c>
      <c r="F1562" s="212" t="s">
        <v>2345</v>
      </c>
    </row>
    <row r="1563" spans="1:6">
      <c r="A1563" s="208"/>
      <c r="B1563" s="209" t="s">
        <v>2867</v>
      </c>
      <c r="C1563" s="211" t="s">
        <v>1440</v>
      </c>
      <c r="D1563" s="212">
        <v>14.5</v>
      </c>
      <c r="E1563" s="212">
        <v>2.2000000000000002</v>
      </c>
      <c r="F1563" s="212" t="s">
        <v>2339</v>
      </c>
    </row>
    <row r="1564" spans="1:6">
      <c r="A1564" s="208"/>
      <c r="B1564" s="209" t="s">
        <v>2867</v>
      </c>
      <c r="C1564" s="211" t="s">
        <v>1438</v>
      </c>
      <c r="D1564" s="212">
        <v>14.5</v>
      </c>
      <c r="E1564" s="212">
        <v>2.5</v>
      </c>
      <c r="F1564" s="212" t="s">
        <v>2339</v>
      </c>
    </row>
    <row r="1565" spans="1:6">
      <c r="A1565" s="208"/>
      <c r="B1565" s="209" t="s">
        <v>2867</v>
      </c>
      <c r="C1565" s="211" t="s">
        <v>1439</v>
      </c>
      <c r="D1565" s="209" t="s">
        <v>1293</v>
      </c>
      <c r="E1565" s="212">
        <v>2.84</v>
      </c>
      <c r="F1565" s="212" t="s">
        <v>2339</v>
      </c>
    </row>
    <row r="1566" spans="1:6">
      <c r="A1566" s="208"/>
      <c r="B1566" s="209" t="s">
        <v>2867</v>
      </c>
      <c r="C1566" s="211" t="s">
        <v>1347</v>
      </c>
      <c r="D1566" s="212">
        <v>15.24</v>
      </c>
      <c r="E1566" s="212">
        <v>3</v>
      </c>
      <c r="F1566" s="212" t="s">
        <v>321</v>
      </c>
    </row>
    <row r="1567" spans="1:6">
      <c r="A1567" s="208"/>
      <c r="B1567" s="209" t="s">
        <v>2867</v>
      </c>
      <c r="C1567" s="211" t="s">
        <v>1348</v>
      </c>
      <c r="D1567" s="212">
        <v>15.56</v>
      </c>
      <c r="E1567" s="212">
        <v>3.03</v>
      </c>
      <c r="F1567" s="212" t="s">
        <v>308</v>
      </c>
    </row>
    <row r="1568" spans="1:6">
      <c r="A1568" s="208"/>
      <c r="B1568" s="209" t="s">
        <v>2867</v>
      </c>
      <c r="C1568" s="211" t="s">
        <v>479</v>
      </c>
      <c r="D1568" s="212">
        <v>16.760000000000002</v>
      </c>
      <c r="E1568" s="209" t="s">
        <v>480</v>
      </c>
      <c r="F1568" s="209" t="s">
        <v>2348</v>
      </c>
    </row>
    <row r="1569" spans="1:6">
      <c r="A1569" s="208"/>
      <c r="B1569" s="209" t="s">
        <v>2867</v>
      </c>
      <c r="C1569" s="211" t="s">
        <v>483</v>
      </c>
      <c r="D1569" s="212">
        <v>16.760000000000002</v>
      </c>
      <c r="E1569" s="209" t="s">
        <v>481</v>
      </c>
      <c r="F1569" s="209" t="s">
        <v>2348</v>
      </c>
    </row>
    <row r="1570" spans="1:6">
      <c r="A1570" s="208"/>
      <c r="B1570" s="209" t="s">
        <v>2867</v>
      </c>
      <c r="C1570" s="211" t="s">
        <v>478</v>
      </c>
      <c r="D1570" s="212">
        <v>16.760000000000002</v>
      </c>
      <c r="E1570" s="209" t="s">
        <v>482</v>
      </c>
      <c r="F1570" s="209" t="s">
        <v>2348</v>
      </c>
    </row>
    <row r="1571" spans="1:6">
      <c r="A1571" s="208"/>
      <c r="B1571" s="209" t="s">
        <v>2867</v>
      </c>
      <c r="C1571" s="211" t="s">
        <v>1349</v>
      </c>
      <c r="D1571" s="212">
        <v>16.98</v>
      </c>
      <c r="E1571" s="212">
        <v>2.85</v>
      </c>
      <c r="F1571" s="212" t="s">
        <v>341</v>
      </c>
    </row>
    <row r="1572" spans="1:6">
      <c r="A1572" s="208"/>
      <c r="B1572" s="209" t="s">
        <v>2867</v>
      </c>
      <c r="C1572" s="211" t="s">
        <v>1441</v>
      </c>
      <c r="D1572" s="212">
        <v>18.28</v>
      </c>
      <c r="E1572" s="212">
        <v>2.9</v>
      </c>
      <c r="F1572" s="212" t="s">
        <v>319</v>
      </c>
    </row>
    <row r="1573" spans="1:6">
      <c r="A1573" s="208"/>
      <c r="B1573" s="209" t="s">
        <v>2867</v>
      </c>
      <c r="C1573" s="211" t="s">
        <v>1442</v>
      </c>
      <c r="D1573" s="212">
        <v>18.32</v>
      </c>
      <c r="E1573" s="212">
        <v>3.2</v>
      </c>
      <c r="F1573" s="212" t="s">
        <v>319</v>
      </c>
    </row>
    <row r="1574" spans="1:6">
      <c r="A1574" s="208"/>
      <c r="B1574" s="209" t="s">
        <v>2867</v>
      </c>
      <c r="C1574" s="211" t="s">
        <v>1350</v>
      </c>
      <c r="D1574" s="212">
        <v>19.97</v>
      </c>
      <c r="E1574" s="212">
        <v>3</v>
      </c>
      <c r="F1574" s="209" t="s">
        <v>2346</v>
      </c>
    </row>
    <row r="1575" spans="1:6">
      <c r="B1575" s="209" t="s">
        <v>2867</v>
      </c>
      <c r="C1575" s="211" t="s">
        <v>1351</v>
      </c>
      <c r="D1575" s="209" t="s">
        <v>1294</v>
      </c>
      <c r="E1575" s="212">
        <v>1.32</v>
      </c>
      <c r="F1575" s="212" t="s">
        <v>2372</v>
      </c>
    </row>
    <row r="1576" spans="1:6">
      <c r="B1576" s="209" t="s">
        <v>2867</v>
      </c>
      <c r="C1576" s="211" t="s">
        <v>1352</v>
      </c>
      <c r="D1576" s="212">
        <v>9.25</v>
      </c>
      <c r="E1576" s="212">
        <v>1.75</v>
      </c>
      <c r="F1576" s="212" t="s">
        <v>3508</v>
      </c>
    </row>
    <row r="1577" spans="1:6">
      <c r="B1577" s="209" t="s">
        <v>2867</v>
      </c>
      <c r="C1577" s="211" t="s">
        <v>1353</v>
      </c>
      <c r="D1577" s="212">
        <v>10</v>
      </c>
      <c r="E1577" s="212">
        <v>1.79</v>
      </c>
      <c r="F1577" s="212" t="s">
        <v>332</v>
      </c>
    </row>
    <row r="1578" spans="1:6">
      <c r="B1578" s="209" t="s">
        <v>2867</v>
      </c>
      <c r="C1578" s="211" t="s">
        <v>474</v>
      </c>
      <c r="D1578" s="209" t="s">
        <v>475</v>
      </c>
      <c r="E1578" s="209" t="s">
        <v>422</v>
      </c>
      <c r="F1578" s="209" t="s">
        <v>314</v>
      </c>
    </row>
    <row r="1579" spans="1:6">
      <c r="B1579" s="209" t="s">
        <v>2867</v>
      </c>
      <c r="C1579" s="211" t="s">
        <v>1354</v>
      </c>
      <c r="D1579" s="212">
        <v>12.81</v>
      </c>
      <c r="E1579" s="212">
        <v>2.1</v>
      </c>
      <c r="F1579" s="209" t="s">
        <v>2346</v>
      </c>
    </row>
    <row r="1580" spans="1:6">
      <c r="B1580" s="209" t="s">
        <v>2867</v>
      </c>
      <c r="C1580" s="211" t="s">
        <v>1444</v>
      </c>
      <c r="D1580" s="212">
        <v>13.86</v>
      </c>
      <c r="E1580" s="212">
        <v>2.2000000000000002</v>
      </c>
      <c r="F1580" s="209" t="s">
        <v>311</v>
      </c>
    </row>
    <row r="1581" spans="1:6">
      <c r="B1581" s="209" t="s">
        <v>2867</v>
      </c>
      <c r="C1581" s="211" t="s">
        <v>1443</v>
      </c>
      <c r="D1581" s="212">
        <v>13.86</v>
      </c>
      <c r="E1581" s="212">
        <v>2.35</v>
      </c>
      <c r="F1581" s="209" t="s">
        <v>311</v>
      </c>
    </row>
    <row r="1582" spans="1:6">
      <c r="B1582" s="209" t="s">
        <v>2867</v>
      </c>
      <c r="C1582" s="211" t="s">
        <v>1355</v>
      </c>
      <c r="D1582" s="212">
        <v>14.99</v>
      </c>
      <c r="E1582" s="212">
        <v>2.35</v>
      </c>
      <c r="F1582" s="209" t="s">
        <v>314</v>
      </c>
    </row>
    <row r="1583" spans="1:6">
      <c r="B1583" s="209" t="s">
        <v>2867</v>
      </c>
      <c r="C1583" s="211" t="s">
        <v>476</v>
      </c>
      <c r="D1583" s="209" t="s">
        <v>2044</v>
      </c>
      <c r="E1583" s="209" t="s">
        <v>406</v>
      </c>
      <c r="F1583" s="209" t="s">
        <v>3000</v>
      </c>
    </row>
    <row r="1584" spans="1:6">
      <c r="B1584" s="209" t="s">
        <v>2867</v>
      </c>
      <c r="C1584" s="211" t="s">
        <v>1356</v>
      </c>
      <c r="D1584" s="212">
        <v>11.58</v>
      </c>
      <c r="E1584" s="212">
        <v>2.1</v>
      </c>
      <c r="F1584" s="209" t="s">
        <v>316</v>
      </c>
    </row>
    <row r="1585" spans="2:6">
      <c r="B1585" s="209" t="s">
        <v>2867</v>
      </c>
      <c r="C1585" s="211" t="s">
        <v>1357</v>
      </c>
      <c r="D1585" s="212">
        <v>11.58</v>
      </c>
      <c r="E1585" s="212">
        <v>2.4</v>
      </c>
      <c r="F1585" s="209" t="s">
        <v>316</v>
      </c>
    </row>
    <row r="1586" spans="2:6">
      <c r="B1586" s="209" t="s">
        <v>2867</v>
      </c>
      <c r="C1586" s="211" t="s">
        <v>1445</v>
      </c>
      <c r="D1586" s="212">
        <v>13.29</v>
      </c>
      <c r="E1586" s="212">
        <v>2.65</v>
      </c>
      <c r="F1586" s="209" t="s">
        <v>316</v>
      </c>
    </row>
    <row r="1587" spans="2:6">
      <c r="B1587" s="209" t="s">
        <v>2867</v>
      </c>
      <c r="C1587" s="211" t="s">
        <v>477</v>
      </c>
      <c r="D1587" s="209" t="s">
        <v>1248</v>
      </c>
      <c r="E1587" s="209" t="s">
        <v>1678</v>
      </c>
      <c r="F1587" s="209" t="s">
        <v>3000</v>
      </c>
    </row>
    <row r="1588" spans="2:6">
      <c r="B1588" s="209" t="s">
        <v>737</v>
      </c>
      <c r="C1588" s="211" t="s">
        <v>484</v>
      </c>
      <c r="D1588" s="209" t="s">
        <v>1296</v>
      </c>
      <c r="E1588" s="212">
        <v>1.46</v>
      </c>
      <c r="F1588" s="209" t="s">
        <v>306</v>
      </c>
    </row>
    <row r="1589" spans="2:6">
      <c r="B1589" s="209" t="s">
        <v>737</v>
      </c>
      <c r="C1589" s="211" t="s">
        <v>2624</v>
      </c>
      <c r="D1589" s="212">
        <v>7.49</v>
      </c>
      <c r="E1589" s="212">
        <v>1.5</v>
      </c>
      <c r="F1589" s="209" t="s">
        <v>2980</v>
      </c>
    </row>
    <row r="1590" spans="2:6">
      <c r="B1590" s="209" t="s">
        <v>737</v>
      </c>
      <c r="C1590" s="211" t="s">
        <v>2625</v>
      </c>
      <c r="D1590" s="209" t="s">
        <v>1297</v>
      </c>
      <c r="E1590" s="212">
        <v>1.87</v>
      </c>
      <c r="F1590" s="209" t="s">
        <v>353</v>
      </c>
    </row>
    <row r="1591" spans="2:6">
      <c r="B1591" s="209" t="s">
        <v>737</v>
      </c>
      <c r="C1591" s="211" t="s">
        <v>2626</v>
      </c>
      <c r="D1591" s="212">
        <v>8.99</v>
      </c>
      <c r="E1591" s="212">
        <v>2.04</v>
      </c>
      <c r="F1591" s="209" t="s">
        <v>341</v>
      </c>
    </row>
    <row r="1592" spans="2:6">
      <c r="B1592" s="209" t="s">
        <v>737</v>
      </c>
      <c r="C1592" s="211" t="s">
        <v>2627</v>
      </c>
      <c r="D1592" s="212">
        <v>9.4700000000000006</v>
      </c>
      <c r="E1592" s="212">
        <v>1.84</v>
      </c>
      <c r="F1592" s="209" t="s">
        <v>2340</v>
      </c>
    </row>
    <row r="1593" spans="2:6">
      <c r="B1593" s="209" t="s">
        <v>737</v>
      </c>
      <c r="C1593" s="211" t="s">
        <v>2628</v>
      </c>
      <c r="D1593" s="212">
        <v>10.17</v>
      </c>
      <c r="E1593" s="212">
        <v>1.9</v>
      </c>
      <c r="F1593" s="212" t="s">
        <v>327</v>
      </c>
    </row>
    <row r="1594" spans="2:6">
      <c r="B1594" s="209" t="s">
        <v>737</v>
      </c>
      <c r="C1594" s="211" t="s">
        <v>2629</v>
      </c>
      <c r="D1594" s="212">
        <v>9.9700000000000006</v>
      </c>
      <c r="E1594" s="212">
        <v>2.02</v>
      </c>
      <c r="F1594" s="209" t="s">
        <v>2339</v>
      </c>
    </row>
    <row r="1595" spans="2:6">
      <c r="B1595" s="209" t="s">
        <v>737</v>
      </c>
      <c r="C1595" s="211" t="s">
        <v>2630</v>
      </c>
      <c r="D1595" s="212">
        <v>10.95</v>
      </c>
      <c r="E1595" s="212">
        <v>2</v>
      </c>
      <c r="F1595" s="212" t="s">
        <v>2370</v>
      </c>
    </row>
    <row r="1596" spans="2:6">
      <c r="B1596" s="209" t="s">
        <v>738</v>
      </c>
      <c r="C1596" s="211" t="s">
        <v>2631</v>
      </c>
      <c r="D1596" s="212">
        <v>10.98</v>
      </c>
      <c r="E1596" s="212">
        <v>2.0099999999999998</v>
      </c>
      <c r="F1596" s="212" t="s">
        <v>2370</v>
      </c>
    </row>
    <row r="1597" spans="2:6">
      <c r="B1597" s="209" t="s">
        <v>738</v>
      </c>
      <c r="C1597" s="211" t="s">
        <v>2632</v>
      </c>
      <c r="D1597" s="209" t="s">
        <v>2061</v>
      </c>
      <c r="E1597" s="212">
        <v>1.8</v>
      </c>
      <c r="F1597" s="212" t="s">
        <v>2370</v>
      </c>
    </row>
    <row r="1598" spans="2:6">
      <c r="B1598" s="209" t="s">
        <v>738</v>
      </c>
      <c r="C1598" s="211" t="s">
        <v>2633</v>
      </c>
      <c r="D1598" s="209" t="s">
        <v>1298</v>
      </c>
      <c r="E1598" s="209" t="s">
        <v>305</v>
      </c>
      <c r="F1598" s="212" t="s">
        <v>324</v>
      </c>
    </row>
    <row r="1599" spans="2:6">
      <c r="B1599" s="209" t="s">
        <v>738</v>
      </c>
      <c r="C1599" s="211" t="s">
        <v>2634</v>
      </c>
      <c r="D1599" s="212">
        <v>8.94</v>
      </c>
      <c r="E1599" s="212">
        <v>1.75</v>
      </c>
      <c r="F1599" s="212" t="s">
        <v>326</v>
      </c>
    </row>
    <row r="1600" spans="2:6">
      <c r="B1600" s="209"/>
      <c r="D1600" s="212"/>
      <c r="E1600" s="209"/>
      <c r="F1600" s="212"/>
    </row>
    <row r="1601" spans="2:6">
      <c r="B1601" s="209"/>
      <c r="D1601" s="212"/>
      <c r="E1601" s="212"/>
      <c r="F1601" s="212"/>
    </row>
    <row r="1602" spans="2:6">
      <c r="B1602" s="209"/>
      <c r="D1602" s="212"/>
      <c r="E1602" s="212"/>
      <c r="F1602" s="212"/>
    </row>
    <row r="1603" spans="2:6">
      <c r="B1603" s="209"/>
      <c r="D1603" s="212"/>
      <c r="E1603" s="212"/>
      <c r="F1603" s="212"/>
    </row>
    <row r="1608" spans="2:6">
      <c r="B1608" s="211" t="s">
        <v>3595</v>
      </c>
      <c r="C1608" s="204">
        <f>Application!B29</f>
        <v>0</v>
      </c>
    </row>
  </sheetData>
  <sheetProtection algorithmName="SHA-512" hashValue="3xaZ3AG+e3u34hp26FTnUGLBnuANpOlrKXgIXOmgUrUB7DfMcG+425+qTFnCUfvt5gN3QuugS0kpqg9N6gOM4w==" saltValue="CPBWk319AsMI3AlZbwLZZw==" spinCount="100000" sheet="1" objects="1" scenarios="1"/>
  <sortState xmlns:xlrd2="http://schemas.microsoft.com/office/spreadsheetml/2017/richdata2" ref="B315:F318">
    <sortCondition ref="C315:C318"/>
  </sortState>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L9"/>
  <sheetViews>
    <sheetView topLeftCell="HI1" workbookViewId="0">
      <selection activeCell="HH1" sqref="A1:HH1048576"/>
    </sheetView>
  </sheetViews>
  <sheetFormatPr defaultColWidth="9.15234375" defaultRowHeight="12.45"/>
  <cols>
    <col min="1" max="4" width="9.15234375" style="34" hidden="1" customWidth="1"/>
    <col min="5" max="5" width="14" style="34" hidden="1" customWidth="1"/>
    <col min="6" max="6" width="17.53515625" style="34" hidden="1" customWidth="1"/>
    <col min="7" max="8" width="9.15234375" style="34" hidden="1" customWidth="1"/>
    <col min="9" max="9" width="13.4609375" style="34" hidden="1" customWidth="1"/>
    <col min="10" max="169" width="9.15234375" style="34" hidden="1" customWidth="1"/>
    <col min="170" max="170" width="19.15234375" style="34" hidden="1" customWidth="1"/>
    <col min="171" max="171" width="9.15234375" style="34" hidden="1" customWidth="1"/>
    <col min="172" max="172" width="16.4609375" style="34" hidden="1" customWidth="1"/>
    <col min="173" max="173" width="11.4609375" style="34" hidden="1" customWidth="1"/>
    <col min="174" max="175" width="9.15234375" style="34" hidden="1" customWidth="1"/>
    <col min="176" max="176" width="11.15234375" style="34" hidden="1" customWidth="1"/>
    <col min="177" max="177" width="14" style="34" hidden="1" customWidth="1"/>
    <col min="178" max="179" width="11.4609375" style="34" hidden="1" customWidth="1"/>
    <col min="180" max="180" width="12.53515625" style="34" hidden="1" customWidth="1"/>
    <col min="181" max="181" width="6.69140625" style="34" hidden="1" customWidth="1"/>
    <col min="182" max="182" width="7.15234375" style="34" hidden="1" customWidth="1"/>
    <col min="183" max="183" width="11.53515625" style="34" hidden="1" customWidth="1"/>
    <col min="184" max="186" width="14.15234375" style="34" hidden="1" customWidth="1"/>
    <col min="187" max="187" width="7.84375" style="48" hidden="1" customWidth="1"/>
    <col min="188" max="192" width="8.4609375" style="48" hidden="1" customWidth="1"/>
    <col min="193" max="194" width="9.15234375" style="34" hidden="1" customWidth="1"/>
    <col min="195" max="195" width="11.69140625" style="34" hidden="1" customWidth="1"/>
    <col min="196" max="197" width="10.15234375" style="34" hidden="1" customWidth="1"/>
    <col min="198" max="199" width="10.15234375" style="53" hidden="1" customWidth="1"/>
    <col min="200" max="216" width="10.15234375" style="34" hidden="1" customWidth="1"/>
    <col min="217" max="220" width="9.15234375" style="34" customWidth="1"/>
    <col min="221" max="16384" width="9.15234375" style="34"/>
  </cols>
  <sheetData>
    <row r="1" spans="1:220">
      <c r="A1" s="34" t="s">
        <v>1021</v>
      </c>
      <c r="B1" s="34" t="s">
        <v>1022</v>
      </c>
      <c r="C1" s="34" t="s">
        <v>1023</v>
      </c>
      <c r="D1" s="34" t="s">
        <v>1024</v>
      </c>
      <c r="E1" s="34" t="s">
        <v>1025</v>
      </c>
      <c r="F1" s="34" t="s">
        <v>1026</v>
      </c>
      <c r="G1" s="34" t="s">
        <v>1027</v>
      </c>
      <c r="H1" s="34" t="s">
        <v>1028</v>
      </c>
      <c r="I1" s="34" t="s">
        <v>1029</v>
      </c>
      <c r="J1" s="34" t="s">
        <v>1030</v>
      </c>
      <c r="K1" s="34" t="s">
        <v>1031</v>
      </c>
      <c r="L1" s="34" t="s">
        <v>1032</v>
      </c>
      <c r="M1" s="34" t="s">
        <v>1033</v>
      </c>
      <c r="N1" s="34" t="s">
        <v>1034</v>
      </c>
      <c r="O1" s="34" t="s">
        <v>1035</v>
      </c>
      <c r="P1" s="34" t="s">
        <v>1036</v>
      </c>
      <c r="Q1" s="34" t="s">
        <v>1037</v>
      </c>
      <c r="R1" s="34" t="s">
        <v>1038</v>
      </c>
      <c r="S1" s="34" t="s">
        <v>1039</v>
      </c>
      <c r="T1" s="34" t="s">
        <v>1040</v>
      </c>
      <c r="U1" s="34" t="s">
        <v>1041</v>
      </c>
      <c r="V1" s="34" t="s">
        <v>1042</v>
      </c>
      <c r="W1" s="34" t="s">
        <v>1043</v>
      </c>
      <c r="X1" s="34" t="s">
        <v>1044</v>
      </c>
      <c r="Y1" s="34" t="s">
        <v>1045</v>
      </c>
      <c r="Z1" s="34" t="s">
        <v>1046</v>
      </c>
      <c r="AA1" s="34" t="s">
        <v>1047</v>
      </c>
      <c r="AB1" s="34" t="s">
        <v>1048</v>
      </c>
      <c r="AC1" s="34" t="s">
        <v>1049</v>
      </c>
      <c r="AD1" s="34" t="s">
        <v>1050</v>
      </c>
      <c r="AE1" s="34" t="s">
        <v>1051</v>
      </c>
      <c r="AF1" s="34" t="s">
        <v>1052</v>
      </c>
      <c r="AG1" s="34" t="s">
        <v>1053</v>
      </c>
      <c r="AH1" s="34" t="s">
        <v>1054</v>
      </c>
      <c r="AI1" s="34" t="s">
        <v>1055</v>
      </c>
      <c r="AJ1" s="34" t="s">
        <v>1056</v>
      </c>
      <c r="AK1" s="34" t="s">
        <v>1057</v>
      </c>
      <c r="AL1" s="34" t="s">
        <v>374</v>
      </c>
      <c r="AM1" s="34" t="s">
        <v>1058</v>
      </c>
      <c r="AN1" s="34" t="s">
        <v>1059</v>
      </c>
      <c r="AO1" s="34" t="s">
        <v>1060</v>
      </c>
      <c r="AP1" s="34" t="s">
        <v>1061</v>
      </c>
      <c r="AQ1" s="34" t="s">
        <v>1062</v>
      </c>
      <c r="AR1" s="34" t="s">
        <v>1063</v>
      </c>
      <c r="AS1" s="34" t="s">
        <v>1064</v>
      </c>
      <c r="AT1" s="34" t="s">
        <v>1065</v>
      </c>
      <c r="AU1" s="34" t="s">
        <v>1066</v>
      </c>
      <c r="AV1" s="34" t="s">
        <v>1067</v>
      </c>
      <c r="AW1" s="34" t="s">
        <v>1068</v>
      </c>
      <c r="AX1" s="34" t="s">
        <v>1069</v>
      </c>
      <c r="AY1" s="34" t="s">
        <v>1070</v>
      </c>
      <c r="AZ1" s="34" t="s">
        <v>366</v>
      </c>
      <c r="BA1" s="34" t="s">
        <v>368</v>
      </c>
      <c r="BB1" s="34" t="s">
        <v>371</v>
      </c>
      <c r="BC1" s="34" t="s">
        <v>1071</v>
      </c>
      <c r="BD1" s="34" t="s">
        <v>1072</v>
      </c>
      <c r="BE1" s="34" t="s">
        <v>2197</v>
      </c>
      <c r="BF1" s="34" t="s">
        <v>2198</v>
      </c>
      <c r="BG1" s="34" t="s">
        <v>2199</v>
      </c>
      <c r="BH1" s="34" t="s">
        <v>2200</v>
      </c>
      <c r="BI1" s="546" t="s">
        <v>944</v>
      </c>
      <c r="BJ1" s="34" t="s">
        <v>367</v>
      </c>
      <c r="BK1" s="34" t="s">
        <v>369</v>
      </c>
      <c r="BL1" s="34" t="s">
        <v>2202</v>
      </c>
      <c r="BM1" s="34" t="s">
        <v>2203</v>
      </c>
      <c r="BN1" s="34" t="s">
        <v>2204</v>
      </c>
      <c r="BO1" s="34" t="s">
        <v>2205</v>
      </c>
      <c r="BP1" s="34" t="s">
        <v>2206</v>
      </c>
      <c r="BQ1" s="34" t="s">
        <v>2207</v>
      </c>
      <c r="BR1" s="34" t="s">
        <v>2208</v>
      </c>
      <c r="BS1" s="484" t="s">
        <v>2209</v>
      </c>
      <c r="BT1" s="34" t="s">
        <v>2210</v>
      </c>
      <c r="BU1" s="34" t="s">
        <v>2211</v>
      </c>
      <c r="BV1" s="34" t="s">
        <v>2212</v>
      </c>
      <c r="BW1" s="34" t="s">
        <v>2213</v>
      </c>
      <c r="BX1" s="34" t="s">
        <v>2214</v>
      </c>
      <c r="BY1" s="34" t="s">
        <v>2215</v>
      </c>
      <c r="BZ1" s="484" t="s">
        <v>2216</v>
      </c>
      <c r="CA1" s="34" t="s">
        <v>2217</v>
      </c>
      <c r="CB1" s="34" t="s">
        <v>2218</v>
      </c>
      <c r="CC1" s="34" t="s">
        <v>2219</v>
      </c>
      <c r="CD1" s="34" t="s">
        <v>2220</v>
      </c>
      <c r="CE1" s="34" t="s">
        <v>2221</v>
      </c>
      <c r="CF1" s="34" t="s">
        <v>2222</v>
      </c>
      <c r="CG1" s="34" t="s">
        <v>2223</v>
      </c>
      <c r="CH1" s="34" t="s">
        <v>2224</v>
      </c>
      <c r="CI1" s="34" t="s">
        <v>2225</v>
      </c>
      <c r="CJ1" s="34" t="s">
        <v>2226</v>
      </c>
      <c r="CK1" s="34" t="s">
        <v>2227</v>
      </c>
      <c r="CL1" s="34" t="s">
        <v>2228</v>
      </c>
      <c r="CM1" s="34" t="s">
        <v>2229</v>
      </c>
      <c r="CN1" s="34" t="s">
        <v>2230</v>
      </c>
      <c r="CO1" s="34" t="s">
        <v>2231</v>
      </c>
      <c r="CP1" s="34" t="s">
        <v>2232</v>
      </c>
      <c r="CQ1" s="34" t="s">
        <v>2233</v>
      </c>
      <c r="CR1" s="34" t="s">
        <v>2234</v>
      </c>
      <c r="CS1" s="34" t="s">
        <v>2235</v>
      </c>
      <c r="CT1" s="34" t="s">
        <v>2236</v>
      </c>
      <c r="CU1" s="34" t="s">
        <v>2237</v>
      </c>
      <c r="CV1" s="34" t="s">
        <v>2238</v>
      </c>
      <c r="CW1" s="34" t="s">
        <v>2239</v>
      </c>
      <c r="CX1" s="34" t="s">
        <v>2240</v>
      </c>
      <c r="CY1" s="34" t="s">
        <v>2241</v>
      </c>
      <c r="CZ1" s="34" t="s">
        <v>2242</v>
      </c>
      <c r="DA1" s="34" t="s">
        <v>2243</v>
      </c>
      <c r="DB1" s="34" t="s">
        <v>2244</v>
      </c>
      <c r="DC1" s="34" t="s">
        <v>2245</v>
      </c>
      <c r="DD1" s="34" t="s">
        <v>2246</v>
      </c>
      <c r="DE1" s="34" t="s">
        <v>2249</v>
      </c>
      <c r="DF1" s="34" t="s">
        <v>2250</v>
      </c>
      <c r="DG1" s="34" t="s">
        <v>1516</v>
      </c>
      <c r="DH1" s="34" t="s">
        <v>800</v>
      </c>
      <c r="DI1" s="546" t="s">
        <v>5456</v>
      </c>
      <c r="DJ1" s="34" t="s">
        <v>801</v>
      </c>
      <c r="DK1" s="34" t="s">
        <v>802</v>
      </c>
      <c r="DL1" s="34" t="s">
        <v>803</v>
      </c>
      <c r="DM1" s="34" t="s">
        <v>804</v>
      </c>
      <c r="DN1" s="34" t="s">
        <v>805</v>
      </c>
      <c r="DO1" s="34" t="s">
        <v>806</v>
      </c>
      <c r="DP1" s="34" t="s">
        <v>807</v>
      </c>
      <c r="DQ1" s="34" t="s">
        <v>808</v>
      </c>
      <c r="DR1" s="34" t="s">
        <v>809</v>
      </c>
      <c r="DS1" s="34" t="s">
        <v>810</v>
      </c>
      <c r="DT1" s="34" t="s">
        <v>811</v>
      </c>
      <c r="DU1" s="34" t="s">
        <v>812</v>
      </c>
      <c r="DV1" s="34" t="s">
        <v>813</v>
      </c>
      <c r="DW1" s="34" t="s">
        <v>814</v>
      </c>
      <c r="DX1" s="34" t="s">
        <v>815</v>
      </c>
      <c r="DY1" s="34" t="s">
        <v>816</v>
      </c>
      <c r="DZ1" s="34" t="s">
        <v>817</v>
      </c>
      <c r="EA1" s="34" t="s">
        <v>818</v>
      </c>
      <c r="EB1" s="34" t="s">
        <v>819</v>
      </c>
      <c r="EC1" s="34" t="s">
        <v>820</v>
      </c>
      <c r="ED1" s="34" t="s">
        <v>821</v>
      </c>
      <c r="EE1" s="34" t="s">
        <v>822</v>
      </c>
      <c r="EF1" s="34" t="s">
        <v>823</v>
      </c>
      <c r="EG1" s="34" t="s">
        <v>824</v>
      </c>
      <c r="EH1" s="34" t="s">
        <v>825</v>
      </c>
      <c r="EI1" s="34" t="s">
        <v>826</v>
      </c>
      <c r="EJ1" s="34" t="s">
        <v>3686</v>
      </c>
      <c r="EK1" s="34" t="s">
        <v>3687</v>
      </c>
      <c r="EL1" s="34" t="s">
        <v>3688</v>
      </c>
      <c r="EM1" s="34" t="s">
        <v>3689</v>
      </c>
      <c r="EN1" s="34" t="s">
        <v>3690</v>
      </c>
      <c r="EO1" s="34" t="s">
        <v>3691</v>
      </c>
      <c r="EP1" s="34" t="s">
        <v>3692</v>
      </c>
      <c r="EQ1" s="34" t="s">
        <v>3693</v>
      </c>
      <c r="ER1" s="34" t="s">
        <v>3694</v>
      </c>
      <c r="ES1" s="34" t="s">
        <v>3695</v>
      </c>
      <c r="ET1" s="34" t="s">
        <v>3696</v>
      </c>
      <c r="EU1" s="34" t="s">
        <v>3697</v>
      </c>
      <c r="EV1" s="34" t="s">
        <v>3452</v>
      </c>
      <c r="EW1" s="34" t="s">
        <v>3698</v>
      </c>
      <c r="EX1" s="34" t="s">
        <v>871</v>
      </c>
      <c r="EY1" s="34" t="s">
        <v>3699</v>
      </c>
      <c r="EZ1" s="34" t="s">
        <v>3703</v>
      </c>
      <c r="FA1" s="34" t="s">
        <v>3704</v>
      </c>
      <c r="FB1" s="34" t="s">
        <v>3705</v>
      </c>
      <c r="FC1" s="34" t="s">
        <v>3706</v>
      </c>
      <c r="FD1" s="34" t="s">
        <v>3601</v>
      </c>
      <c r="FE1" s="34" t="s">
        <v>1521</v>
      </c>
      <c r="FF1" s="34" t="s">
        <v>871</v>
      </c>
      <c r="FG1" s="34" t="s">
        <v>3602</v>
      </c>
      <c r="FH1" s="34" t="s">
        <v>3603</v>
      </c>
      <c r="FI1" s="34" t="s">
        <v>3604</v>
      </c>
      <c r="FJ1" s="34" t="s">
        <v>3605</v>
      </c>
      <c r="FK1" s="34" t="s">
        <v>3606</v>
      </c>
      <c r="FL1" s="34" t="s">
        <v>3770</v>
      </c>
      <c r="FM1" s="34" t="s">
        <v>3607</v>
      </c>
      <c r="FN1" s="34" t="s">
        <v>3772</v>
      </c>
      <c r="FO1" s="34" t="s">
        <v>3608</v>
      </c>
      <c r="FP1" s="34" t="s">
        <v>3805</v>
      </c>
      <c r="FQ1" s="34" t="s">
        <v>3807</v>
      </c>
      <c r="FR1" s="34" t="s">
        <v>3609</v>
      </c>
      <c r="FS1" s="34" t="s">
        <v>3610</v>
      </c>
      <c r="FT1" s="34" t="s">
        <v>1541</v>
      </c>
      <c r="FU1" s="34" t="s">
        <v>1544</v>
      </c>
      <c r="FV1" s="34" t="s">
        <v>1545</v>
      </c>
      <c r="FW1" s="34" t="s">
        <v>1547</v>
      </c>
      <c r="FX1" s="34" t="s">
        <v>172</v>
      </c>
      <c r="FY1" s="33" t="s">
        <v>174</v>
      </c>
      <c r="FZ1" s="33" t="s">
        <v>2479</v>
      </c>
      <c r="GA1" s="33" t="s">
        <v>3184</v>
      </c>
      <c r="GB1" s="33" t="s">
        <v>3185</v>
      </c>
      <c r="GC1" s="33" t="s">
        <v>2269</v>
      </c>
      <c r="GD1" s="33" t="s">
        <v>181</v>
      </c>
      <c r="GE1" s="55" t="s">
        <v>3012</v>
      </c>
      <c r="GF1" s="55" t="s">
        <v>3013</v>
      </c>
      <c r="GG1" s="33" t="s">
        <v>3804</v>
      </c>
      <c r="GH1" s="33" t="s">
        <v>3803</v>
      </c>
      <c r="GI1" s="33" t="s">
        <v>2247</v>
      </c>
      <c r="GJ1" s="33" t="s">
        <v>3452</v>
      </c>
      <c r="GK1" s="34" t="s">
        <v>3299</v>
      </c>
      <c r="GL1" s="34" t="s">
        <v>3091</v>
      </c>
      <c r="GM1" s="34" t="s">
        <v>5267</v>
      </c>
      <c r="GN1" s="34" t="s">
        <v>3766</v>
      </c>
      <c r="GO1" s="34" t="s">
        <v>3767</v>
      </c>
      <c r="GP1" s="53" t="s">
        <v>4307</v>
      </c>
      <c r="GQ1" s="53" t="s">
        <v>4308</v>
      </c>
      <c r="GR1" s="53" t="s">
        <v>4616</v>
      </c>
      <c r="GS1" s="53" t="s">
        <v>2201</v>
      </c>
      <c r="GT1" s="53" t="s">
        <v>5215</v>
      </c>
      <c r="GU1" s="53" t="s">
        <v>5216</v>
      </c>
      <c r="GV1" s="53" t="s">
        <v>5217</v>
      </c>
      <c r="GW1" s="53" t="s">
        <v>5218</v>
      </c>
      <c r="GX1" s="53" t="s">
        <v>5219</v>
      </c>
      <c r="GY1" s="53" t="s">
        <v>5220</v>
      </c>
      <c r="GZ1" s="53" t="s">
        <v>5221</v>
      </c>
      <c r="HA1" s="53" t="s">
        <v>5222</v>
      </c>
      <c r="HB1" s="53" t="s">
        <v>5223</v>
      </c>
      <c r="HC1" s="53" t="s">
        <v>5556</v>
      </c>
      <c r="HD1" s="53" t="s">
        <v>5555</v>
      </c>
      <c r="HE1" s="53" t="s">
        <v>5560</v>
      </c>
      <c r="HF1" s="53" t="s">
        <v>5557</v>
      </c>
      <c r="HG1" s="53" t="s">
        <v>5558</v>
      </c>
      <c r="HH1" s="53" t="s">
        <v>5559</v>
      </c>
      <c r="HI1" s="56" t="s">
        <v>3611</v>
      </c>
      <c r="HJ1" s="56" t="s">
        <v>3612</v>
      </c>
      <c r="HL1" s="34" t="s">
        <v>5353</v>
      </c>
    </row>
    <row r="2" spans="1:220">
      <c r="A2" s="50">
        <f>Inputs!K3</f>
        <v>0</v>
      </c>
      <c r="B2" s="50">
        <f>Inputs!M3</f>
        <v>0</v>
      </c>
      <c r="C2" s="50">
        <f>Inputs!N3</f>
        <v>0</v>
      </c>
      <c r="D2" s="50">
        <f>Inputs!O3</f>
        <v>0</v>
      </c>
      <c r="E2" s="34">
        <f>Inputs!R3</f>
        <v>0</v>
      </c>
      <c r="F2" s="50">
        <f>Inputs!P3</f>
        <v>0</v>
      </c>
      <c r="G2" s="50">
        <f>Inputs!S3</f>
        <v>0</v>
      </c>
      <c r="I2" s="34">
        <f>Inputs!CX2</f>
        <v>0</v>
      </c>
      <c r="J2" s="34">
        <f>Inputs!DL2</f>
        <v>0</v>
      </c>
      <c r="K2" s="34">
        <f>Inputs!DH2</f>
        <v>0</v>
      </c>
      <c r="L2" s="50">
        <f>Inputs!C3</f>
        <v>0</v>
      </c>
      <c r="M2" s="34" t="str">
        <f>Inputs!B3</f>
        <v/>
      </c>
      <c r="N2" s="49">
        <f>Inputs!CD3</f>
        <v>0</v>
      </c>
      <c r="O2" s="50">
        <f>Inputs!I3</f>
        <v>0</v>
      </c>
      <c r="P2" s="34" t="str">
        <f>Inputs!D3</f>
        <v/>
      </c>
      <c r="Q2" s="50">
        <f>Inputs!G3</f>
        <v>0</v>
      </c>
      <c r="R2" s="34">
        <f>Inputs!DK2</f>
        <v>0</v>
      </c>
      <c r="S2" s="34">
        <f>Inputs!CQ3</f>
        <v>1</v>
      </c>
      <c r="T2" s="34">
        <f>Inputs!DG2</f>
        <v>0</v>
      </c>
      <c r="U2" s="34">
        <f>Inputs!BD3</f>
        <v>0</v>
      </c>
      <c r="V2" s="34">
        <f>Inputs!AV3</f>
        <v>99</v>
      </c>
      <c r="W2" s="34">
        <f>Inputs!BE3</f>
        <v>0</v>
      </c>
      <c r="X2" s="34">
        <f>Inputs!CS3</f>
        <v>0</v>
      </c>
      <c r="Y2" s="34">
        <f>Inputs!AI3</f>
        <v>0</v>
      </c>
      <c r="Z2" s="34">
        <f>Inputs!AO3</f>
        <v>0</v>
      </c>
      <c r="AA2" s="34">
        <f>Inputs!AR3</f>
        <v>0</v>
      </c>
      <c r="AB2" s="34">
        <f>Inputs!AP3</f>
        <v>0</v>
      </c>
      <c r="AE2" s="34">
        <f>Inputs!DM2</f>
        <v>0</v>
      </c>
      <c r="AG2" s="34">
        <f>Inputs!DB2</f>
        <v>0</v>
      </c>
      <c r="AH2" s="34">
        <f>Inputs!DB2</f>
        <v>0</v>
      </c>
      <c r="AK2" s="34">
        <f>Inputs!DJ2</f>
        <v>0</v>
      </c>
      <c r="AL2" s="34">
        <f>Inputs!BI3</f>
        <v>0</v>
      </c>
      <c r="AM2" s="34">
        <f>Inputs!H3</f>
        <v>0</v>
      </c>
      <c r="AN2" s="34">
        <f>Inputs!BA3</f>
        <v>0</v>
      </c>
      <c r="AO2" s="34">
        <f>Inputs!BB3</f>
        <v>0</v>
      </c>
      <c r="AP2" s="34">
        <f>Inputs!BZ3</f>
        <v>0</v>
      </c>
      <c r="AQ2" s="34">
        <f>Inputs!CA3</f>
        <v>0</v>
      </c>
      <c r="AR2" s="34">
        <f>Inputs!CB3</f>
        <v>0</v>
      </c>
      <c r="AS2" s="34">
        <f>Inputs!CC3</f>
        <v>0</v>
      </c>
      <c r="AT2" s="34">
        <f>Inputs!DF2</f>
        <v>0</v>
      </c>
      <c r="AU2" s="34">
        <f>Inputs!AY3</f>
        <v>0</v>
      </c>
      <c r="AV2" s="34">
        <f>Inputs!AZ3</f>
        <v>0</v>
      </c>
      <c r="AW2" s="34">
        <f>Inputs!AT3</f>
        <v>0</v>
      </c>
      <c r="AX2" s="34">
        <f>Inputs!AU3</f>
        <v>0</v>
      </c>
      <c r="AY2" s="34">
        <f>Inputs!AS3</f>
        <v>0</v>
      </c>
      <c r="AZ2" s="34">
        <f>Inputs!BF3</f>
        <v>0</v>
      </c>
      <c r="BA2" s="34">
        <f>Inputs!BG3</f>
        <v>0</v>
      </c>
      <c r="BB2" s="34">
        <f>Inputs!BH3</f>
        <v>0</v>
      </c>
      <c r="BC2" s="34">
        <f>Inputs!BP3</f>
        <v>0</v>
      </c>
      <c r="BD2" s="34">
        <f>Inputs!BQ3</f>
        <v>0</v>
      </c>
      <c r="BE2" s="34">
        <f>Inputs!BM3</f>
        <v>-1</v>
      </c>
      <c r="BF2" s="34">
        <f>IF(AND(Inputs!BN10=0,Inputs!BV3=0,Inputs!BW3=0,Inputs!BX3=0,Inputs!BY3=0,Inputs!BZ3=0,Inputs!CA3=0,Inputs!CB3=0,Inputs!CC3=0,Inputs!CD3=0),0,1)</f>
        <v>0</v>
      </c>
      <c r="BG2" s="34">
        <f>Inputs!BV3</f>
        <v>0</v>
      </c>
      <c r="BH2" s="34">
        <f>Inputs!BX3</f>
        <v>0</v>
      </c>
      <c r="BI2" s="34">
        <f>Inputs!BJ3</f>
        <v>0</v>
      </c>
      <c r="BJ2" s="34">
        <f>Inputs!BK3</f>
        <v>0</v>
      </c>
      <c r="BK2" s="34">
        <f>Inputs!BL3</f>
        <v>0</v>
      </c>
      <c r="BM2" s="34">
        <f>Inputs!CE3</f>
        <v>0</v>
      </c>
      <c r="BN2" s="34">
        <f>Inputs!CF3</f>
        <v>0</v>
      </c>
      <c r="BO2" s="34">
        <f>Inputs!CT3</f>
        <v>0</v>
      </c>
      <c r="BP2" s="34">
        <f>Inputs!CU3</f>
        <v>99</v>
      </c>
      <c r="BQ2" s="34">
        <f>Inputs!CG3</f>
        <v>0</v>
      </c>
      <c r="BR2" s="34">
        <f>Inputs!CH3</f>
        <v>0</v>
      </c>
      <c r="BS2" s="484">
        <f>Inputs!CJ3</f>
        <v>0</v>
      </c>
      <c r="BT2" s="34">
        <f>Inputs!CI3</f>
        <v>0</v>
      </c>
      <c r="BU2" s="34">
        <f>Inputs!AH3</f>
        <v>0</v>
      </c>
      <c r="BX2" s="34">
        <f>Inputs!CR3</f>
        <v>0</v>
      </c>
      <c r="BY2" s="34">
        <f>Inputs!W3</f>
        <v>0</v>
      </c>
      <c r="BZ2" s="484">
        <f>Inputs!CK3</f>
        <v>0</v>
      </c>
      <c r="CA2" s="34">
        <f>Inputs!DE2</f>
        <v>0</v>
      </c>
      <c r="CB2" s="34">
        <f>Inputs!DC2</f>
        <v>0</v>
      </c>
      <c r="CD2" s="34">
        <f>Inputs!DN2</f>
        <v>0</v>
      </c>
      <c r="CE2" s="34">
        <f>Inputs!AJ3</f>
        <v>0</v>
      </c>
      <c r="CF2" s="34">
        <f>Inputs!AM3</f>
        <v>0</v>
      </c>
      <c r="CG2" s="34">
        <f>Inputs!BW3</f>
        <v>0</v>
      </c>
      <c r="CH2" s="34">
        <f>Inputs!BY3</f>
        <v>0</v>
      </c>
      <c r="CI2" s="34" t="str">
        <f>Inputs!DO2</f>
        <v>N</v>
      </c>
      <c r="CJ2" s="34">
        <f>Inputs!DP2</f>
        <v>-1</v>
      </c>
      <c r="CK2" s="34">
        <f>Inputs!DQ2</f>
        <v>0</v>
      </c>
      <c r="CL2" s="34">
        <f>Inputs!DR2</f>
        <v>0</v>
      </c>
      <c r="CM2" s="34">
        <f>Inputs!DS2</f>
        <v>0</v>
      </c>
      <c r="CN2" s="34">
        <f>Inputs!DT2</f>
        <v>0</v>
      </c>
      <c r="CO2" s="34">
        <f>Inputs!DU2</f>
        <v>0</v>
      </c>
      <c r="CP2" s="34">
        <f>Inputs!DV2</f>
        <v>0</v>
      </c>
      <c r="CR2" s="34" t="str">
        <f>Inputs!V3</f>
        <v>No</v>
      </c>
      <c r="CS2" s="34">
        <f>Inputs!CW2</f>
        <v>0</v>
      </c>
      <c r="CT2" s="34">
        <f>Inputs!BT3</f>
        <v>0</v>
      </c>
      <c r="CU2" s="34">
        <f>Inputs!BS3</f>
        <v>0</v>
      </c>
      <c r="CV2" s="34">
        <f>Inputs!CL3</f>
        <v>0</v>
      </c>
      <c r="CW2" s="34">
        <f>Inputs!CN3</f>
        <v>0</v>
      </c>
      <c r="CX2" s="34">
        <f>Inputs!CM3</f>
        <v>99</v>
      </c>
      <c r="CY2" s="34">
        <f>Inputs!BU3</f>
        <v>0</v>
      </c>
      <c r="DA2" s="34">
        <f>Inputs!AQ3</f>
        <v>0</v>
      </c>
      <c r="DB2" s="34">
        <f>Inputs!AW3</f>
        <v>0</v>
      </c>
      <c r="DC2" s="34">
        <f>Inputs!AX3</f>
        <v>0</v>
      </c>
      <c r="DD2" s="34">
        <f>Inputs!AK3</f>
        <v>0</v>
      </c>
      <c r="DE2" s="34">
        <f>Inputs!AL3</f>
        <v>0</v>
      </c>
      <c r="DF2" s="34">
        <f>Inputs!AN3</f>
        <v>0</v>
      </c>
      <c r="DG2" s="34">
        <f>Inputs!DI2</f>
        <v>0</v>
      </c>
      <c r="DH2" s="34">
        <f>Inputs!CO3</f>
        <v>0</v>
      </c>
      <c r="DI2" s="34">
        <f>Inputs!CP3</f>
        <v>0</v>
      </c>
      <c r="DJ2" s="34">
        <f>Inputs!BN10</f>
        <v>0</v>
      </c>
      <c r="DL2" s="49">
        <f>Inputs!BR3</f>
        <v>0</v>
      </c>
      <c r="DO2" s="34">
        <f>Inputs!BO3</f>
        <v>0</v>
      </c>
      <c r="DR2" s="34">
        <f>Inputs!BC3</f>
        <v>0</v>
      </c>
      <c r="DS2" s="34">
        <f>Inputs!DD2</f>
        <v>0</v>
      </c>
      <c r="EU2" s="34">
        <f ca="1">Inputs!Q3</f>
        <v>0</v>
      </c>
      <c r="EV2" s="50" t="e">
        <f>Inputs!#REF!</f>
        <v>#REF!</v>
      </c>
      <c r="EW2" s="50">
        <f>Inputs!U3</f>
        <v>0</v>
      </c>
      <c r="EX2" s="50">
        <f>Inputs!J3</f>
        <v>0</v>
      </c>
      <c r="FA2" s="34">
        <f>Inputs!DB2</f>
        <v>0</v>
      </c>
      <c r="FB2" s="34">
        <f>Inputs!CY2</f>
        <v>0</v>
      </c>
      <c r="FC2" s="34">
        <f>Inputs!CZ2</f>
        <v>0</v>
      </c>
      <c r="FD2" s="34" t="str">
        <f>Inputs!DA2</f>
        <v>Yes</v>
      </c>
      <c r="FE2" s="50">
        <f>Inputs!F3</f>
        <v>0</v>
      </c>
      <c r="FF2" s="50">
        <f>Inputs!J3</f>
        <v>0</v>
      </c>
      <c r="FG2" s="50">
        <f>Inputs!L3</f>
        <v>0</v>
      </c>
      <c r="FH2" s="34">
        <f>Inputs!X3</f>
        <v>1</v>
      </c>
      <c r="FI2" s="34">
        <f>Inputs!Y3</f>
        <v>0</v>
      </c>
      <c r="FJ2" s="34">
        <f>Inputs!Z3</f>
        <v>0</v>
      </c>
      <c r="FK2" s="34">
        <f>Inputs!AA3</f>
        <v>1</v>
      </c>
      <c r="FL2" s="34">
        <f>Inputs!AB3</f>
        <v>1</v>
      </c>
      <c r="FM2" s="34">
        <f>Inputs!AC3</f>
        <v>0</v>
      </c>
      <c r="FN2" s="34">
        <f>Inputs!AD3</f>
        <v>0</v>
      </c>
      <c r="FO2" s="34">
        <f>Inputs!AE3</f>
        <v>0</v>
      </c>
      <c r="FP2" s="34">
        <f>Inputs!AF3</f>
        <v>0</v>
      </c>
      <c r="FQ2" s="34">
        <f>Inputs!AG3</f>
        <v>0</v>
      </c>
      <c r="FR2" s="34">
        <f>Inputs!CV2</f>
        <v>30</v>
      </c>
      <c r="FS2" s="50">
        <f>Inputs!E3</f>
        <v>0</v>
      </c>
      <c r="FT2" s="48">
        <f>Inputs!DW2</f>
        <v>1</v>
      </c>
      <c r="FU2" s="48">
        <f>Inputs!DX2</f>
        <v>0</v>
      </c>
      <c r="FV2" s="48">
        <f>Inputs!DY2</f>
        <v>0</v>
      </c>
      <c r="FW2" s="48">
        <f>Inputs!DZ2</f>
        <v>0</v>
      </c>
      <c r="FX2" s="48">
        <f>Inputs!EA2</f>
        <v>0</v>
      </c>
      <c r="FY2" s="49">
        <f>Inputs!EB2</f>
        <v>0</v>
      </c>
      <c r="FZ2" s="49">
        <f>Inputs!EB2</f>
        <v>0</v>
      </c>
      <c r="GA2" s="48">
        <f>Inputs!ED2</f>
        <v>0</v>
      </c>
      <c r="GB2" s="48">
        <f>Inputs!EE2</f>
        <v>2021</v>
      </c>
      <c r="GC2" s="48">
        <f>Inputs!EF2</f>
        <v>0</v>
      </c>
      <c r="GD2" s="49">
        <f>Inputs!EG2</f>
        <v>0</v>
      </c>
      <c r="GE2" s="48">
        <f>Inputs!EH2</f>
        <v>0</v>
      </c>
      <c r="GF2" s="48">
        <f>Inputs!EI2</f>
        <v>0</v>
      </c>
      <c r="GG2" s="48">
        <f>Inputs!EJ2</f>
        <v>0</v>
      </c>
      <c r="GH2" s="48">
        <f>Inputs!EK2</f>
        <v>0</v>
      </c>
      <c r="GI2" s="48">
        <f>Inputs!T3</f>
        <v>0</v>
      </c>
      <c r="GK2" s="57">
        <f>Inputs!EM2</f>
        <v>0</v>
      </c>
      <c r="GL2" s="216">
        <f>Inputs!EN2</f>
        <v>0</v>
      </c>
      <c r="GM2" s="216">
        <f>Inputs!EP2</f>
        <v>0</v>
      </c>
      <c r="GN2" s="284"/>
      <c r="GO2" s="284"/>
      <c r="GP2" s="470">
        <f>Inputs!EP2</f>
        <v>0</v>
      </c>
      <c r="GQ2" s="470">
        <f>Inputs!EQ2</f>
        <v>0</v>
      </c>
      <c r="GR2" s="470">
        <f>Inputs!ER2</f>
        <v>0</v>
      </c>
      <c r="GS2" s="547">
        <f>Inputs!ES$2</f>
        <v>0</v>
      </c>
      <c r="GT2" s="470">
        <f>Inputs!ET$2</f>
        <v>99</v>
      </c>
      <c r="GU2" s="547">
        <f>Inputs!EU$2</f>
        <v>0</v>
      </c>
      <c r="GV2" s="547">
        <f>Inputs!EV$2</f>
        <v>0</v>
      </c>
      <c r="GW2" s="547">
        <f>Inputs!EW$2</f>
        <v>0</v>
      </c>
      <c r="GX2" s="547">
        <f>Inputs!EX$2</f>
        <v>0</v>
      </c>
      <c r="GY2" s="547">
        <f>Inputs!EY$2</f>
        <v>0</v>
      </c>
      <c r="GZ2" s="547">
        <f>Inputs!EZ$2</f>
        <v>0</v>
      </c>
      <c r="HA2" s="547">
        <f>Inputs!FA$2</f>
        <v>0</v>
      </c>
      <c r="HB2" s="547">
        <f>Inputs!FB$2</f>
        <v>0</v>
      </c>
      <c r="HC2" s="297" t="str">
        <f>IF(Application!F108="","donotimport",Application!F108)</f>
        <v>donotimport</v>
      </c>
      <c r="HD2" s="297" t="str">
        <f>IF(Application!F117="","donotimport",Application!F117)</f>
        <v>donotimport</v>
      </c>
      <c r="HE2" s="297" t="str">
        <f>IF(Application!F129="","donotimport",Application!F129)</f>
        <v>donotimport</v>
      </c>
      <c r="HF2" s="297" t="str">
        <f>IF(Application!F143="","donotimport",Application!F143)</f>
        <v>donotimport</v>
      </c>
      <c r="HG2" s="297" t="str">
        <f>IF(Application!F150="","donotimport",Application!F150)</f>
        <v>donotimport</v>
      </c>
      <c r="HH2" s="297" t="str">
        <f>IF(Application!F216="","donotimport",Application!F216)</f>
        <v>donotimport</v>
      </c>
      <c r="HI2" s="58"/>
    </row>
    <row r="3" spans="1:220">
      <c r="D3" s="50"/>
      <c r="E3" s="50"/>
      <c r="H3" s="34" t="s">
        <v>3613</v>
      </c>
      <c r="I3" s="34">
        <f>Inputs!CX2</f>
        <v>0</v>
      </c>
      <c r="J3" s="34" t="s">
        <v>1309</v>
      </c>
      <c r="K3" s="34" t="s">
        <v>3613</v>
      </c>
      <c r="R3" s="34" t="s">
        <v>1309</v>
      </c>
      <c r="T3" s="34" t="s">
        <v>1309</v>
      </c>
      <c r="AC3" s="34" t="s">
        <v>3613</v>
      </c>
      <c r="AD3" s="34" t="s">
        <v>3613</v>
      </c>
      <c r="AE3" s="34" t="s">
        <v>1309</v>
      </c>
      <c r="AF3" s="34" t="s">
        <v>3613</v>
      </c>
      <c r="AG3" s="34" t="s">
        <v>3613</v>
      </c>
      <c r="AH3" s="34" t="s">
        <v>1310</v>
      </c>
      <c r="AI3" s="34" t="s">
        <v>1311</v>
      </c>
      <c r="AJ3" s="34" t="s">
        <v>1311</v>
      </c>
      <c r="AK3" s="34" t="s">
        <v>1309</v>
      </c>
      <c r="AT3" s="34" t="s">
        <v>1309</v>
      </c>
      <c r="BL3" s="34" t="s">
        <v>1312</v>
      </c>
      <c r="BS3" s="484"/>
      <c r="BV3" s="34" t="s">
        <v>1312</v>
      </c>
      <c r="BW3" s="34" t="s">
        <v>1313</v>
      </c>
      <c r="BY3" s="34" t="s">
        <v>4654</v>
      </c>
      <c r="BZ3" s="484"/>
      <c r="CA3" s="34" t="s">
        <v>1312</v>
      </c>
      <c r="CB3" s="34" t="s">
        <v>1309</v>
      </c>
      <c r="CC3" s="34" t="s">
        <v>1314</v>
      </c>
      <c r="CI3" s="34" t="s">
        <v>1309</v>
      </c>
      <c r="CJ3" s="34" t="s">
        <v>1309</v>
      </c>
      <c r="CK3" s="34" t="s">
        <v>1309</v>
      </c>
      <c r="CL3" s="34" t="s">
        <v>1309</v>
      </c>
      <c r="CM3" s="34" t="s">
        <v>1309</v>
      </c>
      <c r="CN3" s="34" t="s">
        <v>1309</v>
      </c>
      <c r="CO3" s="34" t="s">
        <v>1309</v>
      </c>
      <c r="CP3" s="34" t="s">
        <v>1309</v>
      </c>
      <c r="CQ3" s="34" t="s">
        <v>3613</v>
      </c>
      <c r="CS3" s="34" t="s">
        <v>1309</v>
      </c>
      <c r="CZ3" s="34" t="s">
        <v>1312</v>
      </c>
      <c r="DG3" s="34" t="s">
        <v>3613</v>
      </c>
      <c r="DH3" s="34" t="s">
        <v>1309</v>
      </c>
      <c r="DI3" s="34" t="s">
        <v>1309</v>
      </c>
      <c r="DK3" s="34" t="s">
        <v>1312</v>
      </c>
      <c r="DM3" s="34" t="s">
        <v>3613</v>
      </c>
      <c r="DN3" s="34" t="s">
        <v>1309</v>
      </c>
      <c r="DP3" s="34" t="s">
        <v>3613</v>
      </c>
      <c r="DQ3" s="34" t="s">
        <v>3613</v>
      </c>
      <c r="DS3" s="34" t="s">
        <v>1309</v>
      </c>
      <c r="DT3" s="34" t="s">
        <v>1309</v>
      </c>
      <c r="DU3" s="34" t="s">
        <v>1309</v>
      </c>
      <c r="DV3" s="34" t="s">
        <v>1309</v>
      </c>
      <c r="DW3" s="34" t="s">
        <v>1309</v>
      </c>
      <c r="DX3" s="34" t="s">
        <v>1309</v>
      </c>
      <c r="DY3" s="34" t="s">
        <v>1309</v>
      </c>
      <c r="DZ3" s="34" t="s">
        <v>1309</v>
      </c>
      <c r="EA3" s="34" t="s">
        <v>1309</v>
      </c>
      <c r="EB3" s="34" t="s">
        <v>1309</v>
      </c>
      <c r="EC3" s="34" t="s">
        <v>3613</v>
      </c>
      <c r="ED3" s="34" t="s">
        <v>3613</v>
      </c>
      <c r="EE3" s="34" t="s">
        <v>1309</v>
      </c>
      <c r="EF3" s="34" t="s">
        <v>1309</v>
      </c>
      <c r="EG3" s="34" t="s">
        <v>1309</v>
      </c>
      <c r="EH3" s="34" t="s">
        <v>1309</v>
      </c>
      <c r="EI3" s="34" t="s">
        <v>1309</v>
      </c>
      <c r="EJ3" s="34" t="s">
        <v>1309</v>
      </c>
      <c r="EK3" s="34" t="s">
        <v>1309</v>
      </c>
      <c r="EL3" s="34" t="s">
        <v>1309</v>
      </c>
      <c r="EM3" s="34" t="s">
        <v>1309</v>
      </c>
      <c r="EN3" s="34" t="s">
        <v>1309</v>
      </c>
      <c r="EO3" s="34" t="s">
        <v>1309</v>
      </c>
      <c r="EP3" s="34" t="s">
        <v>1309</v>
      </c>
      <c r="EQ3" s="34" t="s">
        <v>1309</v>
      </c>
      <c r="ER3" s="34" t="s">
        <v>1309</v>
      </c>
      <c r="ES3" s="34" t="s">
        <v>1312</v>
      </c>
      <c r="ET3" s="34" t="s">
        <v>1312</v>
      </c>
      <c r="EY3" s="34" t="s">
        <v>3613</v>
      </c>
      <c r="EZ3" s="34" t="s">
        <v>3613</v>
      </c>
      <c r="FA3" s="34" t="s">
        <v>3613</v>
      </c>
      <c r="FB3" s="34" t="s">
        <v>3613</v>
      </c>
      <c r="FC3" s="34" t="s">
        <v>3613</v>
      </c>
      <c r="FD3" s="34" t="s">
        <v>1309</v>
      </c>
      <c r="GR3" s="53"/>
      <c r="GS3" s="53"/>
      <c r="GT3" s="53"/>
      <c r="GU3" s="53"/>
      <c r="GV3" s="53"/>
      <c r="GW3" s="53"/>
      <c r="GX3" s="53"/>
      <c r="GY3" s="53"/>
      <c r="GZ3" s="53"/>
      <c r="HA3" s="53"/>
      <c r="HB3" s="53"/>
      <c r="HC3" s="53"/>
      <c r="HD3" s="53"/>
      <c r="HE3" s="53"/>
      <c r="HF3" s="53"/>
      <c r="HG3" s="53"/>
      <c r="HH3" s="53"/>
    </row>
    <row r="4" spans="1:220">
      <c r="BI4" s="34" t="s">
        <v>5224</v>
      </c>
      <c r="BS4" s="484" t="s">
        <v>4655</v>
      </c>
      <c r="BZ4" s="484" t="s">
        <v>4655</v>
      </c>
      <c r="GL4" s="34" t="s">
        <v>5268</v>
      </c>
      <c r="GM4" s="34" t="s">
        <v>5270</v>
      </c>
      <c r="GR4" s="53" t="s">
        <v>4526</v>
      </c>
      <c r="GS4" s="53" t="s">
        <v>5225</v>
      </c>
      <c r="GT4" s="53" t="s">
        <v>5225</v>
      </c>
      <c r="GU4" s="53" t="s">
        <v>5225</v>
      </c>
      <c r="GV4" s="53" t="s">
        <v>5225</v>
      </c>
      <c r="GW4" s="53" t="s">
        <v>5225</v>
      </c>
      <c r="GX4" s="53" t="s">
        <v>5225</v>
      </c>
      <c r="GY4" s="53" t="s">
        <v>5225</v>
      </c>
      <c r="GZ4" s="53" t="s">
        <v>5225</v>
      </c>
      <c r="HA4" s="53" t="s">
        <v>5225</v>
      </c>
      <c r="HB4" s="53" t="s">
        <v>5225</v>
      </c>
      <c r="HC4" s="53" t="s">
        <v>5561</v>
      </c>
      <c r="HD4" s="53" t="s">
        <v>5561</v>
      </c>
      <c r="HE4" s="53" t="s">
        <v>5561</v>
      </c>
      <c r="HF4" s="53" t="s">
        <v>5561</v>
      </c>
      <c r="HG4" s="53" t="s">
        <v>5561</v>
      </c>
      <c r="HH4" s="53" t="s">
        <v>5561</v>
      </c>
    </row>
    <row r="5" spans="1:220">
      <c r="BI5" s="34" t="s">
        <v>2201</v>
      </c>
      <c r="CJ5" s="53" t="s">
        <v>4700</v>
      </c>
      <c r="CL5" s="307" t="s">
        <v>5428</v>
      </c>
      <c r="CV5" s="307">
        <v>2024</v>
      </c>
      <c r="DH5" s="546" t="s">
        <v>5465</v>
      </c>
      <c r="DI5" s="546" t="s">
        <v>5457</v>
      </c>
      <c r="DJ5" s="53" t="s">
        <v>4713</v>
      </c>
      <c r="GL5" s="34" t="s">
        <v>5269</v>
      </c>
      <c r="GM5" s="34" t="s">
        <v>5269</v>
      </c>
    </row>
    <row r="6" spans="1:220">
      <c r="BI6" s="34" t="s">
        <v>4656</v>
      </c>
      <c r="CJ6" s="53" t="s">
        <v>4701</v>
      </c>
      <c r="CL6" s="307" t="s">
        <v>5429</v>
      </c>
      <c r="CV6" s="307" t="s">
        <v>5473</v>
      </c>
      <c r="DH6" s="546">
        <v>2024</v>
      </c>
      <c r="DI6" s="546"/>
      <c r="DJ6" s="53" t="s">
        <v>4714</v>
      </c>
      <c r="DL6" s="34" t="s">
        <v>5241</v>
      </c>
      <c r="GM6" s="34" t="s">
        <v>5225</v>
      </c>
      <c r="GS6" s="34" t="s">
        <v>860</v>
      </c>
    </row>
    <row r="7" spans="1:220">
      <c r="BI7" s="34">
        <v>2021</v>
      </c>
      <c r="CJ7" s="53" t="s">
        <v>4702</v>
      </c>
      <c r="CL7" s="307" t="s">
        <v>5430</v>
      </c>
      <c r="CV7" s="307" t="s">
        <v>5474</v>
      </c>
      <c r="DJ7" s="53" t="s">
        <v>4715</v>
      </c>
      <c r="GS7" s="34" t="s">
        <v>5226</v>
      </c>
    </row>
    <row r="8" spans="1:220">
      <c r="CJ8" s="53" t="s">
        <v>4656</v>
      </c>
      <c r="CL8" s="307" t="s">
        <v>5431</v>
      </c>
    </row>
    <row r="9" spans="1:220">
      <c r="CJ9" s="53">
        <v>2019</v>
      </c>
    </row>
  </sheetData>
  <sheetProtection algorithmName="SHA-512" hashValue="2hwa02nsW9vS3oOFS79wC8OW/MB7U7SRPxQ2f6gP+D4dUMnyoETMxMDdzZczqLAqKnnBXnXGDj2xhgfV59XfUg==" saltValue="gNwqQ2PzAI+Qq171wu/1DQ==" spinCount="100000" sheet="1" objects="1" scenarios="1"/>
  <phoneticPr fontId="19"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activeCell="FB1" sqref="A1:FB1048576"/>
    </sheetView>
  </sheetViews>
  <sheetFormatPr defaultColWidth="9.15234375" defaultRowHeight="12.45"/>
  <cols>
    <col min="1" max="1" width="9.15234375" style="34" hidden="1" customWidth="1"/>
    <col min="2" max="2" width="10.4609375" style="34" hidden="1" customWidth="1"/>
    <col min="3" max="3" width="10.53515625" style="34" hidden="1" customWidth="1"/>
    <col min="4" max="4" width="6.53515625" style="34" hidden="1" customWidth="1"/>
    <col min="5" max="6" width="8.4609375" style="34" hidden="1" customWidth="1"/>
    <col min="7" max="7" width="10" style="34" hidden="1" customWidth="1"/>
    <col min="8" max="10" width="8.4609375" style="34" hidden="1" customWidth="1"/>
    <col min="11" max="11" width="6.15234375" style="34" hidden="1" customWidth="1"/>
    <col min="12" max="12" width="12.4609375" style="34" hidden="1" customWidth="1"/>
    <col min="13" max="16" width="10" style="34" hidden="1" customWidth="1"/>
    <col min="17" max="17" width="8.4609375" style="34" hidden="1" customWidth="1"/>
    <col min="18" max="18" width="8.84375" style="34" hidden="1" customWidth="1"/>
    <col min="19" max="21" width="8.4609375" style="34" hidden="1" customWidth="1"/>
    <col min="22" max="22" width="16.15234375" style="34" hidden="1" customWidth="1"/>
    <col min="23" max="23" width="12.84375" style="34" hidden="1" customWidth="1"/>
    <col min="24" max="28" width="8.4609375" style="34" hidden="1" customWidth="1"/>
    <col min="29" max="29" width="11.15234375" style="34" hidden="1" customWidth="1"/>
    <col min="30" max="30" width="16.53515625" style="34" hidden="1" customWidth="1"/>
    <col min="31" max="31" width="8.4609375" style="34" hidden="1" customWidth="1"/>
    <col min="32" max="32" width="14.4609375" style="34" hidden="1" customWidth="1"/>
    <col min="33" max="33" width="11.4609375" style="34" hidden="1" customWidth="1"/>
    <col min="34" max="34" width="12.53515625" style="34" hidden="1" customWidth="1"/>
    <col min="35" max="35" width="5.53515625" style="34" hidden="1" customWidth="1"/>
    <col min="36" max="40" width="4.53515625" style="34" hidden="1" customWidth="1"/>
    <col min="41" max="41" width="5.53515625" style="34" hidden="1" customWidth="1"/>
    <col min="42" max="42" width="6.53515625" style="34" hidden="1" customWidth="1"/>
    <col min="43" max="43" width="8.4609375" style="34" hidden="1" customWidth="1"/>
    <col min="44" max="45" width="5.53515625" style="34" hidden="1" customWidth="1"/>
    <col min="46" max="46" width="8.84375" style="34" hidden="1" customWidth="1"/>
    <col min="47" max="47" width="9" style="34" hidden="1" customWidth="1"/>
    <col min="48" max="48" width="9.84375" style="34" hidden="1" customWidth="1"/>
    <col min="49" max="49" width="5" style="34" hidden="1" customWidth="1"/>
    <col min="50" max="50" width="77.15234375" style="34" hidden="1" customWidth="1"/>
    <col min="51" max="51" width="11.53515625" style="34" hidden="1" customWidth="1"/>
    <col min="52" max="52" width="16" style="34" hidden="1" customWidth="1"/>
    <col min="53" max="53" width="12" style="34" hidden="1" customWidth="1"/>
    <col min="54" max="54" width="7.53515625" style="34" hidden="1" customWidth="1"/>
    <col min="55" max="55" width="9.15234375" style="34" hidden="1" customWidth="1"/>
    <col min="56" max="56" width="6.53515625" style="34" hidden="1" customWidth="1"/>
    <col min="57" max="57" width="7.4609375" style="34" hidden="1" customWidth="1"/>
    <col min="58" max="61" width="4.53515625" style="34" hidden="1" customWidth="1"/>
    <col min="62" max="62" width="8.53515625" style="34" hidden="1" customWidth="1"/>
    <col min="63" max="64" width="4.53515625" style="34" hidden="1" customWidth="1"/>
    <col min="65" max="65" width="7.4609375" style="34" hidden="1" customWidth="1"/>
    <col min="66" max="66" width="9.4609375" style="34" hidden="1" customWidth="1"/>
    <col min="67" max="67" width="7" style="34" hidden="1" customWidth="1"/>
    <col min="68" max="69" width="5.53515625" style="34" hidden="1" customWidth="1"/>
    <col min="70" max="70" width="6.15234375" style="34" hidden="1" customWidth="1"/>
    <col min="71" max="71" width="5.4609375" style="34" hidden="1" customWidth="1"/>
    <col min="72" max="75" width="5.53515625" style="34" hidden="1" customWidth="1"/>
    <col min="76" max="76" width="7" style="34" hidden="1" customWidth="1"/>
    <col min="77" max="77" width="5" style="34" hidden="1" customWidth="1"/>
    <col min="78" max="79" width="5.4609375" style="34" hidden="1" customWidth="1"/>
    <col min="80" max="80" width="4.53515625" style="34" hidden="1" customWidth="1"/>
    <col min="81" max="81" width="6.15234375" style="34" hidden="1" customWidth="1"/>
    <col min="82" max="82" width="8.4609375" style="33" hidden="1" customWidth="1"/>
    <col min="83" max="84" width="4.53515625" style="34" hidden="1" customWidth="1"/>
    <col min="85" max="85" width="12" style="34" hidden="1" customWidth="1"/>
    <col min="86" max="86" width="9.15234375" style="34" hidden="1" customWidth="1"/>
    <col min="87" max="87" width="7.53515625" style="34" hidden="1" customWidth="1"/>
    <col min="88" max="88" width="8.4609375" style="34" hidden="1" customWidth="1"/>
    <col min="89" max="89" width="9.53515625" style="34" hidden="1" customWidth="1"/>
    <col min="90" max="90" width="9.4609375" style="34" hidden="1" customWidth="1"/>
    <col min="91" max="91" width="8.4609375" style="34" hidden="1" customWidth="1"/>
    <col min="92" max="92" width="24.61328125" style="34" hidden="1" customWidth="1"/>
    <col min="93" max="94" width="13.84375" style="34" hidden="1" customWidth="1"/>
    <col min="95" max="95" width="7.4609375" style="34" hidden="1" customWidth="1"/>
    <col min="96" max="96" width="9.4609375" style="34" hidden="1" customWidth="1"/>
    <col min="97" max="97" width="6.53515625" style="34" hidden="1" customWidth="1"/>
    <col min="98" max="98" width="12.15234375" style="34" hidden="1" customWidth="1"/>
    <col min="99" max="99" width="8.4609375" style="34" hidden="1" customWidth="1"/>
    <col min="100" max="100" width="10.53515625" style="34" hidden="1" customWidth="1"/>
    <col min="101" max="126" width="9.15234375" style="34" hidden="1" customWidth="1"/>
    <col min="127" max="127" width="14.15234375" style="34" hidden="1" customWidth="1"/>
    <col min="128" max="128" width="15.15234375" style="34" hidden="1" customWidth="1"/>
    <col min="129" max="129" width="11.84375" style="34" hidden="1" customWidth="1"/>
    <col min="130" max="130" width="11.15234375" style="34" hidden="1" customWidth="1"/>
    <col min="131" max="131" width="12.53515625" style="34" hidden="1" customWidth="1"/>
    <col min="132" max="133" width="8.53515625" style="34" hidden="1" customWidth="1"/>
    <col min="134" max="134" width="11.53515625" style="34" hidden="1" customWidth="1"/>
    <col min="135" max="135" width="14.15234375" style="34" hidden="1" customWidth="1"/>
    <col min="136" max="136" width="13.15234375" style="34" hidden="1" customWidth="1"/>
    <col min="137" max="143" width="9.15234375" style="34" hidden="1" customWidth="1"/>
    <col min="144" max="147" width="9.15234375" style="53" hidden="1" customWidth="1"/>
    <col min="148" max="148" width="9.15234375" style="34" hidden="1" customWidth="1"/>
    <col min="149" max="150" width="8.84375" hidden="1" customWidth="1"/>
    <col min="151" max="158" width="9.15234375" style="34" hidden="1" customWidth="1"/>
    <col min="159" max="16384" width="9.15234375" style="34"/>
  </cols>
  <sheetData>
    <row r="1" spans="1:158" s="33" customFormat="1">
      <c r="A1" s="33" t="s">
        <v>1315</v>
      </c>
      <c r="B1" s="33">
        <v>15</v>
      </c>
      <c r="C1" s="33">
        <v>13</v>
      </c>
      <c r="D1" s="33">
        <v>18</v>
      </c>
      <c r="G1" s="33">
        <v>19</v>
      </c>
      <c r="H1" s="33">
        <v>42</v>
      </c>
      <c r="I1" s="33">
        <v>17</v>
      </c>
      <c r="K1" s="33">
        <v>2</v>
      </c>
      <c r="M1" s="33">
        <v>3</v>
      </c>
      <c r="N1" s="33">
        <v>4</v>
      </c>
      <c r="O1" s="33">
        <v>5</v>
      </c>
      <c r="R1" s="33">
        <v>6</v>
      </c>
      <c r="V1" s="33">
        <v>100</v>
      </c>
      <c r="W1" s="33">
        <v>80</v>
      </c>
      <c r="AH1" s="33">
        <v>76</v>
      </c>
      <c r="AI1" s="33">
        <v>27</v>
      </c>
      <c r="AJ1" s="33">
        <v>86</v>
      </c>
      <c r="AK1" s="33">
        <v>112</v>
      </c>
      <c r="AL1" s="33">
        <v>113</v>
      </c>
      <c r="AM1" s="33">
        <v>87</v>
      </c>
      <c r="AN1" s="33">
        <v>114</v>
      </c>
      <c r="AO1" s="33">
        <v>28</v>
      </c>
      <c r="AP1" s="33">
        <v>30</v>
      </c>
      <c r="AQ1" s="33">
        <v>109</v>
      </c>
      <c r="AR1" s="33">
        <v>29</v>
      </c>
      <c r="AS1" s="33">
        <v>54</v>
      </c>
      <c r="AT1" s="33">
        <v>52</v>
      </c>
      <c r="AU1" s="33">
        <v>53</v>
      </c>
      <c r="AV1" s="33">
        <v>24</v>
      </c>
      <c r="AW1" s="33">
        <v>110</v>
      </c>
      <c r="AX1" s="33">
        <v>111</v>
      </c>
      <c r="AY1" s="33">
        <v>50</v>
      </c>
      <c r="AZ1" s="33">
        <v>51</v>
      </c>
      <c r="BA1" s="33">
        <v>43</v>
      </c>
      <c r="BB1" s="33">
        <v>44</v>
      </c>
      <c r="BC1" s="33">
        <v>125</v>
      </c>
      <c r="BD1" s="33">
        <v>23</v>
      </c>
      <c r="BE1" s="33">
        <v>25</v>
      </c>
      <c r="BF1" s="33">
        <v>55</v>
      </c>
      <c r="BG1" s="33">
        <v>56</v>
      </c>
      <c r="BH1" s="33">
        <v>57</v>
      </c>
      <c r="BI1" s="33">
        <v>41</v>
      </c>
      <c r="BJ1" s="33">
        <v>64</v>
      </c>
      <c r="BK1" s="33">
        <v>65</v>
      </c>
      <c r="BL1" s="33">
        <v>66</v>
      </c>
      <c r="BM1" s="33">
        <v>60</v>
      </c>
      <c r="BN1" s="33">
        <v>117</v>
      </c>
      <c r="BO1" s="33">
        <v>122</v>
      </c>
      <c r="BP1" s="33">
        <v>58</v>
      </c>
      <c r="BQ1" s="33">
        <v>59</v>
      </c>
      <c r="BR1" s="33">
        <v>119</v>
      </c>
      <c r="BS1" s="33">
        <v>103</v>
      </c>
      <c r="BT1" s="33">
        <v>102</v>
      </c>
      <c r="BU1" s="33">
        <v>107</v>
      </c>
      <c r="BV1" s="33">
        <v>62</v>
      </c>
      <c r="BW1" s="33">
        <v>88</v>
      </c>
      <c r="BX1" s="33">
        <v>63</v>
      </c>
      <c r="BY1" s="33">
        <v>89</v>
      </c>
      <c r="BZ1" s="33">
        <v>45</v>
      </c>
      <c r="CA1" s="33">
        <v>46</v>
      </c>
      <c r="CB1" s="33">
        <v>47</v>
      </c>
      <c r="CC1" s="33">
        <v>48</v>
      </c>
      <c r="CD1" s="33">
        <v>16</v>
      </c>
      <c r="CE1" s="33">
        <v>68</v>
      </c>
      <c r="CF1" s="33">
        <v>69</v>
      </c>
      <c r="CG1" s="33">
        <v>72</v>
      </c>
      <c r="CH1" s="33">
        <v>73</v>
      </c>
      <c r="CI1" s="33">
        <v>75</v>
      </c>
      <c r="CJ1" s="482">
        <v>74</v>
      </c>
      <c r="CK1" s="482">
        <v>81</v>
      </c>
      <c r="CL1" s="33">
        <v>104</v>
      </c>
      <c r="CM1" s="33">
        <v>106</v>
      </c>
      <c r="CN1" s="33">
        <v>105</v>
      </c>
      <c r="CO1" s="33">
        <v>116</v>
      </c>
      <c r="CQ1" s="33">
        <v>21</v>
      </c>
      <c r="CR1" s="33">
        <v>79</v>
      </c>
      <c r="CS1" s="33">
        <v>26</v>
      </c>
      <c r="CT1" s="33">
        <v>70</v>
      </c>
      <c r="CU1" s="33">
        <v>71</v>
      </c>
      <c r="CV1" s="34" t="s">
        <v>3609</v>
      </c>
      <c r="CW1" s="34" t="s">
        <v>2235</v>
      </c>
      <c r="CX1" s="34" t="s">
        <v>1029</v>
      </c>
      <c r="CY1" s="34" t="s">
        <v>3705</v>
      </c>
      <c r="CZ1" s="34" t="s">
        <v>3706</v>
      </c>
      <c r="DA1" s="34" t="s">
        <v>3601</v>
      </c>
      <c r="DB1" s="34" t="s">
        <v>3704</v>
      </c>
      <c r="DC1" s="34" t="s">
        <v>2218</v>
      </c>
      <c r="DD1" s="34" t="s">
        <v>810</v>
      </c>
      <c r="DE1" s="33" t="s">
        <v>2217</v>
      </c>
      <c r="DF1" s="33" t="s">
        <v>1065</v>
      </c>
      <c r="DG1" s="33" t="s">
        <v>1316</v>
      </c>
      <c r="DH1" s="33" t="s">
        <v>1317</v>
      </c>
      <c r="DI1" s="33" t="s">
        <v>1318</v>
      </c>
      <c r="DJ1" s="33" t="s">
        <v>1319</v>
      </c>
      <c r="DK1" s="33" t="s">
        <v>1320</v>
      </c>
      <c r="DL1" s="33" t="s">
        <v>1321</v>
      </c>
      <c r="DM1" s="33" t="s">
        <v>1322</v>
      </c>
      <c r="DN1" s="33" t="s">
        <v>1334</v>
      </c>
      <c r="DO1" s="34" t="s">
        <v>2225</v>
      </c>
      <c r="DP1" s="34" t="s">
        <v>2226</v>
      </c>
      <c r="DQ1" s="34" t="s">
        <v>2227</v>
      </c>
      <c r="DR1" s="34" t="s">
        <v>2228</v>
      </c>
      <c r="DS1" s="34" t="s">
        <v>2229</v>
      </c>
      <c r="DT1" s="34" t="s">
        <v>2230</v>
      </c>
      <c r="DU1" s="34" t="s">
        <v>2231</v>
      </c>
      <c r="DV1" s="34" t="s">
        <v>2232</v>
      </c>
      <c r="DW1" s="33" t="s">
        <v>1540</v>
      </c>
      <c r="DX1" s="33" t="s">
        <v>1542</v>
      </c>
      <c r="DY1" s="33" t="s">
        <v>1543</v>
      </c>
      <c r="DZ1" s="33" t="s">
        <v>1546</v>
      </c>
      <c r="EA1" s="33" t="s">
        <v>172</v>
      </c>
      <c r="EB1" s="469" t="s">
        <v>174</v>
      </c>
      <c r="EC1" s="469" t="s">
        <v>2479</v>
      </c>
      <c r="ED1" s="33" t="s">
        <v>3184</v>
      </c>
      <c r="EE1" s="33" t="s">
        <v>3185</v>
      </c>
      <c r="EF1" s="33" t="s">
        <v>2269</v>
      </c>
      <c r="EG1" s="33" t="s">
        <v>181</v>
      </c>
      <c r="EH1" s="33" t="s">
        <v>3012</v>
      </c>
      <c r="EI1" s="33" t="s">
        <v>3013</v>
      </c>
      <c r="EJ1" s="33" t="s">
        <v>3804</v>
      </c>
      <c r="EK1" s="33" t="s">
        <v>3803</v>
      </c>
      <c r="EM1" s="33" t="s">
        <v>3299</v>
      </c>
      <c r="EN1" s="469" t="s">
        <v>3091</v>
      </c>
      <c r="EO1" s="469" t="s">
        <v>5267</v>
      </c>
      <c r="EP1" s="469" t="s">
        <v>4307</v>
      </c>
      <c r="EQ1" s="469" t="s">
        <v>4308</v>
      </c>
      <c r="ER1" s="469" t="s">
        <v>4616</v>
      </c>
      <c r="ES1" s="53" t="s">
        <v>2201</v>
      </c>
      <c r="ET1" s="53" t="s">
        <v>5215</v>
      </c>
      <c r="EU1" s="53" t="s">
        <v>5216</v>
      </c>
      <c r="EV1" s="53" t="s">
        <v>5217</v>
      </c>
      <c r="EW1" s="53" t="s">
        <v>5218</v>
      </c>
      <c r="EX1" s="53" t="s">
        <v>5219</v>
      </c>
      <c r="EY1" s="53" t="s">
        <v>5220</v>
      </c>
      <c r="EZ1" s="53" t="s">
        <v>5221</v>
      </c>
      <c r="FA1" s="53" t="s">
        <v>5222</v>
      </c>
      <c r="FB1" s="53" t="s">
        <v>5223</v>
      </c>
    </row>
    <row r="2" spans="1:158">
      <c r="A2" s="34" t="s">
        <v>1335</v>
      </c>
      <c r="B2" s="35" t="s">
        <v>3161</v>
      </c>
      <c r="C2" s="35" t="s">
        <v>3163</v>
      </c>
      <c r="D2" s="35" t="s">
        <v>663</v>
      </c>
      <c r="E2" s="36" t="s">
        <v>1518</v>
      </c>
      <c r="F2" s="37" t="s">
        <v>1521</v>
      </c>
      <c r="G2" s="38" t="s">
        <v>400</v>
      </c>
      <c r="H2" s="39" t="s">
        <v>401</v>
      </c>
      <c r="I2" s="39" t="s">
        <v>868</v>
      </c>
      <c r="J2" s="39" t="s">
        <v>871</v>
      </c>
      <c r="K2" s="39" t="s">
        <v>664</v>
      </c>
      <c r="L2" s="39" t="s">
        <v>665</v>
      </c>
      <c r="M2" s="39" t="s">
        <v>666</v>
      </c>
      <c r="N2" s="39" t="s">
        <v>667</v>
      </c>
      <c r="O2" s="39" t="s">
        <v>668</v>
      </c>
      <c r="P2" s="39" t="s">
        <v>669</v>
      </c>
      <c r="Q2" s="38" t="s">
        <v>670</v>
      </c>
      <c r="R2" s="59" t="s">
        <v>3450</v>
      </c>
      <c r="S2" s="39" t="s">
        <v>671</v>
      </c>
      <c r="T2" s="33" t="s">
        <v>2247</v>
      </c>
      <c r="U2" s="39" t="s">
        <v>672</v>
      </c>
      <c r="V2" s="40" t="s">
        <v>5364</v>
      </c>
      <c r="W2" s="41" t="s">
        <v>673</v>
      </c>
      <c r="X2" s="42" t="s">
        <v>3634</v>
      </c>
      <c r="Y2" s="42" t="s">
        <v>3635</v>
      </c>
      <c r="Z2" s="42" t="s">
        <v>3636</v>
      </c>
      <c r="AA2" s="43" t="s">
        <v>674</v>
      </c>
      <c r="AB2" s="42" t="s">
        <v>3770</v>
      </c>
      <c r="AC2" s="42" t="s">
        <v>3771</v>
      </c>
      <c r="AD2" s="42" t="s">
        <v>675</v>
      </c>
      <c r="AE2" s="40" t="s">
        <v>676</v>
      </c>
      <c r="AF2" s="40" t="s">
        <v>3806</v>
      </c>
      <c r="AG2" s="40" t="s">
        <v>3807</v>
      </c>
      <c r="AH2" s="40" t="s">
        <v>678</v>
      </c>
      <c r="AI2" s="43" t="s">
        <v>3779</v>
      </c>
      <c r="AJ2" s="43" t="s">
        <v>3782</v>
      </c>
      <c r="AK2" s="43" t="s">
        <v>3785</v>
      </c>
      <c r="AL2" s="43" t="s">
        <v>3788</v>
      </c>
      <c r="AM2" s="44" t="s">
        <v>3783</v>
      </c>
      <c r="AN2" s="45" t="s">
        <v>3786</v>
      </c>
      <c r="AO2" s="43" t="s">
        <v>3789</v>
      </c>
      <c r="AP2" s="43" t="s">
        <v>3791</v>
      </c>
      <c r="AQ2" s="43" t="s">
        <v>679</v>
      </c>
      <c r="AR2" s="43" t="s">
        <v>3797</v>
      </c>
      <c r="AS2" s="43" t="s">
        <v>3798</v>
      </c>
      <c r="AT2" s="43" t="s">
        <v>680</v>
      </c>
      <c r="AU2" s="43" t="s">
        <v>681</v>
      </c>
      <c r="AV2" s="40" t="s">
        <v>3636</v>
      </c>
      <c r="AW2" s="40" t="s">
        <v>682</v>
      </c>
      <c r="AX2" s="43" t="s">
        <v>3799</v>
      </c>
      <c r="AY2" s="43" t="s">
        <v>683</v>
      </c>
      <c r="AZ2" s="43" t="s">
        <v>684</v>
      </c>
      <c r="BA2" s="43" t="s">
        <v>685</v>
      </c>
      <c r="BB2" s="46" t="s">
        <v>686</v>
      </c>
      <c r="BC2" s="43" t="s">
        <v>4744</v>
      </c>
      <c r="BD2" s="40" t="s">
        <v>399</v>
      </c>
      <c r="BE2" s="40" t="s">
        <v>1520</v>
      </c>
      <c r="BF2" s="43" t="s">
        <v>366</v>
      </c>
      <c r="BG2" s="43" t="s">
        <v>368</v>
      </c>
      <c r="BH2" s="43" t="s">
        <v>371</v>
      </c>
      <c r="BI2" s="43" t="s">
        <v>374</v>
      </c>
      <c r="BJ2" s="43" t="s">
        <v>944</v>
      </c>
      <c r="BK2" s="43" t="s">
        <v>367</v>
      </c>
      <c r="BL2" s="43" t="s">
        <v>369</v>
      </c>
      <c r="BM2" s="40" t="s">
        <v>860</v>
      </c>
      <c r="BN2" s="47" t="s">
        <v>2381</v>
      </c>
      <c r="BO2" s="43" t="s">
        <v>381</v>
      </c>
      <c r="BP2" s="43" t="s">
        <v>1071</v>
      </c>
      <c r="BQ2" s="43" t="s">
        <v>1072</v>
      </c>
      <c r="BR2" s="43" t="s">
        <v>1456</v>
      </c>
      <c r="BS2" s="43" t="s">
        <v>1457</v>
      </c>
      <c r="BT2" s="43" t="s">
        <v>1459</v>
      </c>
      <c r="BU2" s="43" t="s">
        <v>1460</v>
      </c>
      <c r="BV2" s="43" t="s">
        <v>1463</v>
      </c>
      <c r="BW2" s="43" t="s">
        <v>157</v>
      </c>
      <c r="BX2" s="43" t="s">
        <v>161</v>
      </c>
      <c r="BY2" s="43" t="s">
        <v>163</v>
      </c>
      <c r="BZ2" s="43" t="s">
        <v>2382</v>
      </c>
      <c r="CA2" s="43" t="s">
        <v>2383</v>
      </c>
      <c r="CB2" s="43" t="s">
        <v>2384</v>
      </c>
      <c r="CC2" s="43" t="s">
        <v>2385</v>
      </c>
      <c r="CD2" s="43" t="s">
        <v>1034</v>
      </c>
      <c r="CE2" s="43" t="s">
        <v>646</v>
      </c>
      <c r="CF2" s="43" t="s">
        <v>2917</v>
      </c>
      <c r="CG2" s="43" t="s">
        <v>2386</v>
      </c>
      <c r="CH2" s="40" t="s">
        <v>2387</v>
      </c>
      <c r="CI2" s="40" t="s">
        <v>2388</v>
      </c>
      <c r="CJ2" s="483" t="s">
        <v>2389</v>
      </c>
      <c r="CK2" s="483" t="s">
        <v>2390</v>
      </c>
      <c r="CL2" s="40" t="s">
        <v>2391</v>
      </c>
      <c r="CM2" s="40" t="s">
        <v>2392</v>
      </c>
      <c r="CN2" s="40" t="s">
        <v>2393</v>
      </c>
      <c r="CO2" s="40" t="s">
        <v>2394</v>
      </c>
      <c r="CP2" s="40" t="s">
        <v>5456</v>
      </c>
      <c r="CQ2" s="40" t="s">
        <v>2395</v>
      </c>
      <c r="CR2" s="40" t="s">
        <v>2396</v>
      </c>
      <c r="CS2" s="40" t="s">
        <v>2397</v>
      </c>
      <c r="CT2" s="40" t="s">
        <v>2398</v>
      </c>
      <c r="CU2" s="40" t="s">
        <v>2399</v>
      </c>
      <c r="CV2" s="34">
        <v>30</v>
      </c>
      <c r="CW2" s="34">
        <f>IF(Application!C383=2,1,0)</f>
        <v>0</v>
      </c>
      <c r="CX2" s="34">
        <f>'Area 2'!A39</f>
        <v>0</v>
      </c>
      <c r="CY2" s="34">
        <v>0</v>
      </c>
      <c r="CZ2" s="34">
        <v>0</v>
      </c>
      <c r="DA2" s="34" t="s">
        <v>2400</v>
      </c>
      <c r="DB2" s="34">
        <v>0</v>
      </c>
      <c r="DC2" s="34">
        <v>0</v>
      </c>
      <c r="DD2" s="34">
        <v>0</v>
      </c>
      <c r="DE2" s="34">
        <v>0</v>
      </c>
      <c r="DF2" s="34">
        <v>0</v>
      </c>
      <c r="DG2" s="34">
        <v>0</v>
      </c>
      <c r="DH2" s="34">
        <v>0</v>
      </c>
      <c r="DI2" s="34">
        <v>0</v>
      </c>
      <c r="DJ2" s="34">
        <v>0</v>
      </c>
      <c r="DK2" s="34">
        <v>0</v>
      </c>
      <c r="DL2" s="34">
        <v>0</v>
      </c>
      <c r="DM2" s="34">
        <v>0</v>
      </c>
      <c r="DN2" s="34">
        <v>0</v>
      </c>
      <c r="DO2" s="34" t="s">
        <v>2401</v>
      </c>
      <c r="DP2" s="34">
        <f>DP8</f>
        <v>-1</v>
      </c>
      <c r="DQ2" s="34">
        <v>0</v>
      </c>
      <c r="DR2" s="34">
        <v>0</v>
      </c>
      <c r="DS2" s="34">
        <v>0</v>
      </c>
      <c r="DT2" s="34">
        <v>0</v>
      </c>
      <c r="DU2" s="34">
        <v>0</v>
      </c>
      <c r="DV2" s="34">
        <v>0</v>
      </c>
      <c r="DW2" s="48">
        <f>IF(Application!C382=1,1,Application!C382-1)</f>
        <v>1</v>
      </c>
      <c r="DX2" s="34">
        <f>MAX(DX12:DX13)</f>
        <v>0</v>
      </c>
      <c r="DY2" s="34">
        <f>Application!C350-1</f>
        <v>0</v>
      </c>
      <c r="DZ2" s="34">
        <f>Application!D56</f>
        <v>0</v>
      </c>
      <c r="EA2" s="34">
        <f>IF(Application!C265="",0,Application!C265)</f>
        <v>0</v>
      </c>
      <c r="EB2" s="49">
        <f>IF(Application!D121="",0,ROUND(Application!D121,2))</f>
        <v>0</v>
      </c>
      <c r="EC2" s="49">
        <f>IF(Application!D121="",0,ROUND(Application!D121,2))</f>
        <v>0</v>
      </c>
      <c r="ED2" s="34">
        <f>IF(Application!C385=1,0,Application!C385-2)</f>
        <v>0</v>
      </c>
      <c r="EE2" s="34">
        <v>2021</v>
      </c>
      <c r="EF2" s="34">
        <f>Application!C345-1</f>
        <v>0</v>
      </c>
      <c r="EG2" s="49">
        <f>IF(Application!D122&gt;0,ROUND(Application!D122,2),0)</f>
        <v>0</v>
      </c>
      <c r="EH2" s="34">
        <f>IF(OR(Application!$C$384=2,Application!C407=2,Application!C408=2,Application!C409=2),1,0)</f>
        <v>0</v>
      </c>
      <c r="EI2" s="34">
        <f>IF(Application!C386=2,1,0)</f>
        <v>0</v>
      </c>
      <c r="EJ2" s="34">
        <f>IF(Application!C378=2,1,0)</f>
        <v>0</v>
      </c>
      <c r="EK2" s="50">
        <f>Application!C251</f>
        <v>0</v>
      </c>
      <c r="EM2" s="34">
        <f>IF(Application!C397&lt;3,0,Application!C397-2)</f>
        <v>0</v>
      </c>
      <c r="EN2" s="548">
        <f>Application!D124</f>
        <v>0</v>
      </c>
      <c r="EO2" s="548">
        <f>Application!D137</f>
        <v>0</v>
      </c>
      <c r="EP2" s="53">
        <f>Application!E199</f>
        <v>0</v>
      </c>
      <c r="EQ2" s="468">
        <f>Application!D167</f>
        <v>0</v>
      </c>
      <c r="ER2" s="468">
        <f>IF(Application!C414=2,1,0)</f>
        <v>0</v>
      </c>
      <c r="ES2" s="547">
        <f>Application!D102</f>
        <v>0</v>
      </c>
      <c r="ET2" s="34">
        <f>IF(Application!A431&lt;2,99,Application!A431-2)</f>
        <v>99</v>
      </c>
      <c r="EU2" s="470">
        <f>Application!D127</f>
        <v>0</v>
      </c>
      <c r="EV2" s="470">
        <f>IF(Application!$D130="",0,ROUND(Application!$D130,2))</f>
        <v>0</v>
      </c>
      <c r="EW2" s="470">
        <f>IF(Application!$D131="",0,ROUND(Application!$D131,2))</f>
        <v>0</v>
      </c>
      <c r="EX2" s="470">
        <f>IF(Application!$D132="",0,ROUND(Application!$D132,2))</f>
        <v>0</v>
      </c>
      <c r="EY2" s="470">
        <f>IF(Application!$D133="",0,ROUND(Application!$D133,2))</f>
        <v>0</v>
      </c>
      <c r="EZ2" s="470">
        <f>IF(Application!$D134="",0,ROUND(Application!$D134,2))</f>
        <v>0</v>
      </c>
      <c r="FA2" s="470">
        <f>IF(Application!$D135="",0,ROUND(Application!$D135,2))</f>
        <v>0</v>
      </c>
      <c r="FB2" s="470">
        <f>IF(Application!$D136="",0,ROUND(Application!$D136,2))</f>
        <v>0</v>
      </c>
    </row>
    <row r="3" spans="1:158">
      <c r="A3" s="34" t="s">
        <v>2402</v>
      </c>
      <c r="B3" s="34" t="str">
        <f>UPPER(Application!C16)</f>
        <v/>
      </c>
      <c r="C3" s="50">
        <f>Application!C17</f>
        <v>0</v>
      </c>
      <c r="D3" s="34" t="str">
        <f>UPPER(Application!C36)</f>
        <v/>
      </c>
      <c r="E3" s="50">
        <f>Application!C38</f>
        <v>0</v>
      </c>
      <c r="F3" s="50">
        <f>Application!C37</f>
        <v>0</v>
      </c>
      <c r="G3" s="50">
        <f>Application!C41</f>
        <v>0</v>
      </c>
      <c r="H3" s="34">
        <f>IF(Application!C18=0,0,Application!C18)</f>
        <v>0</v>
      </c>
      <c r="I3" s="50">
        <f>Application!C39</f>
        <v>0</v>
      </c>
      <c r="J3" s="50">
        <f>Application!C40</f>
        <v>0</v>
      </c>
      <c r="K3" s="34">
        <f>Application!C250</f>
        <v>0</v>
      </c>
      <c r="L3" s="50">
        <f>Application!C252</f>
        <v>0</v>
      </c>
      <c r="M3" s="50">
        <f>Application!C253</f>
        <v>0</v>
      </c>
      <c r="N3" s="50">
        <f>Application!C254</f>
        <v>0</v>
      </c>
      <c r="O3" s="50">
        <f>Application!C255</f>
        <v>0</v>
      </c>
      <c r="P3" s="50">
        <f>Application!C256</f>
        <v>0</v>
      </c>
      <c r="Q3" s="34">
        <f ca="1">country1!A34</f>
        <v>0</v>
      </c>
      <c r="R3" s="50">
        <f>Application!C257</f>
        <v>0</v>
      </c>
      <c r="S3" s="34">
        <f>Application!G257</f>
        <v>0</v>
      </c>
      <c r="T3" s="34">
        <f>Application!G258</f>
        <v>0</v>
      </c>
      <c r="U3" s="50">
        <f>Application!C260</f>
        <v>0</v>
      </c>
      <c r="V3" s="34" t="str">
        <f>IF(Application!C266="","No","Yes")</f>
        <v>No</v>
      </c>
      <c r="W3" s="34">
        <f>IF(Application!C361=TRUE,1,0)</f>
        <v>0</v>
      </c>
      <c r="X3" s="34">
        <f>Application!C342</f>
        <v>1</v>
      </c>
      <c r="Y3" s="34">
        <f>Application!C343-1</f>
        <v>0</v>
      </c>
      <c r="Z3" s="34">
        <f>Application!C344-1</f>
        <v>0</v>
      </c>
      <c r="AA3" s="34">
        <f>AA8</f>
        <v>1</v>
      </c>
      <c r="AB3" s="34">
        <f>IF(Application!C346&lt;10,Application!C346,99)</f>
        <v>1</v>
      </c>
      <c r="AC3" s="34">
        <f>Application!C347-1</f>
        <v>0</v>
      </c>
      <c r="AD3" s="34">
        <f>IF(Application!C348&gt;6,99,Application!C348-1)</f>
        <v>0</v>
      </c>
      <c r="AE3" s="34">
        <f>IF(Application!C375=1,0,Application!C375-2)</f>
        <v>0</v>
      </c>
      <c r="AF3" s="34">
        <f>IF(Application!C376=1,0,Application!C376-2)</f>
        <v>0</v>
      </c>
      <c r="AG3" s="34">
        <f>IF(Application!C374=1,0,Application!C374-2)</f>
        <v>0</v>
      </c>
      <c r="AH3" s="34">
        <f>IF(AH11=TRUE,3,IF(AH9=1,1,IF(AH10=1,2,0)))</f>
        <v>0</v>
      </c>
      <c r="AI3" s="49">
        <f>ROUND(Application!D47,2)</f>
        <v>0</v>
      </c>
      <c r="AJ3" s="49">
        <f>ROUND(Application!D48,2)</f>
        <v>0</v>
      </c>
      <c r="AK3" s="49">
        <f>ROUND(Application!D49,2)</f>
        <v>0</v>
      </c>
      <c r="AL3" s="49">
        <f>ROUND(Application!D50,2)</f>
        <v>0</v>
      </c>
      <c r="AM3" s="49">
        <f>ROUND(Application!D51,2)</f>
        <v>0</v>
      </c>
      <c r="AN3" s="49">
        <f>ROUND(Application!D52,2)</f>
        <v>0</v>
      </c>
      <c r="AO3" s="49">
        <f>ROUND(Application!D53,2)</f>
        <v>0</v>
      </c>
      <c r="AP3" s="34">
        <f>ROUND(Application!D54,0)</f>
        <v>0</v>
      </c>
      <c r="AQ3" s="34">
        <f>ROUND(Application!F57,0)</f>
        <v>0</v>
      </c>
      <c r="AR3" s="49">
        <f>ROUND(Application!D58,2)</f>
        <v>0</v>
      </c>
      <c r="AS3" s="34">
        <f>IF(AND(Application!C344&gt;4,Application!C344&lt;8),0,ROUND(Application!D59,2))</f>
        <v>0</v>
      </c>
      <c r="AT3" s="34">
        <f>IF(AND(Application!C344&gt;4,Application!C344&lt;8),ROUND(Application!D59,2),0)</f>
        <v>0</v>
      </c>
      <c r="AU3" s="34">
        <f>IF(AND(Application!C344&gt;4,Application!C344&lt;8),ROUND(Application!D60,2),0)</f>
        <v>0</v>
      </c>
      <c r="AV3" s="34">
        <f>IF(AV7=TRUE,1,IF(AV8=TRUE,2,IF(AV9=TRUE,3,IF(AV10=TRUE,4,IF(AV11=TRUE,5,99)))))</f>
        <v>99</v>
      </c>
      <c r="AW3" s="34">
        <f>IF(OR(Application!C345=13,Application!C345=14,Application!D62&gt;0),1,0)</f>
        <v>0</v>
      </c>
      <c r="AX3" s="49">
        <f>ROUND(Application!D62,2)</f>
        <v>0</v>
      </c>
      <c r="AY3" s="34">
        <f>MAX(AY32:AY33)</f>
        <v>0</v>
      </c>
      <c r="AZ3" s="34">
        <f>IF(AV3&lt;&gt;4,0,IF(AZ37=TRUE,1,IF(AZ38=TRUE,2,IF(AZ39=TRUE,3,"U"))))</f>
        <v>0</v>
      </c>
      <c r="BA3" s="34">
        <f>IF(BA41=TRUE,0,IF(BA44=TRUE,3,IF(BA43=TRUE,2,IF(BA42=TRUE,1,"U"))))</f>
        <v>0</v>
      </c>
      <c r="BB3" s="34">
        <f>ROUND(Application!D203,0)</f>
        <v>0</v>
      </c>
      <c r="BC3" s="34">
        <f>ROUND(Application!D205,1)</f>
        <v>0</v>
      </c>
      <c r="BD3" s="34">
        <f>Application!C352-1</f>
        <v>0</v>
      </c>
      <c r="BE3" s="34">
        <f>Application!C353-1</f>
        <v>0</v>
      </c>
      <c r="BF3" s="49">
        <f>ROUND(Application!D97,2)</f>
        <v>0</v>
      </c>
      <c r="BG3" s="49">
        <f>ROUND(Application!D98,2)</f>
        <v>0</v>
      </c>
      <c r="BH3" s="49">
        <f>ROUND(Application!D99,2)</f>
        <v>0</v>
      </c>
      <c r="BI3" s="49">
        <f>ROUND(Application!D100,2)</f>
        <v>0</v>
      </c>
      <c r="BJ3" s="49">
        <f>ROUND(Application!D101,2)</f>
        <v>0</v>
      </c>
      <c r="BK3" s="49">
        <f>ROUND(Application!D213,2)</f>
        <v>0</v>
      </c>
      <c r="BL3" s="49">
        <f>ROUND(Application!D214,2)</f>
        <v>0</v>
      </c>
      <c r="BM3" s="34">
        <f>Application!C354-2</f>
        <v>-1</v>
      </c>
      <c r="BN3" s="34">
        <f>IF(AND(BN10=0,BN11=0),0,BN10)</f>
        <v>0</v>
      </c>
      <c r="BO3" s="49">
        <f>ROUND(Application!D118,2)</f>
        <v>0</v>
      </c>
      <c r="BP3" s="49">
        <f>ROUND(Application!D119,2)</f>
        <v>0</v>
      </c>
      <c r="BQ3" s="49">
        <f>ROUND(Application!D120,2)</f>
        <v>0</v>
      </c>
      <c r="BR3" s="49">
        <f>IF(Application!D123&gt;0,ROUND(Application!D123,2),0)</f>
        <v>0</v>
      </c>
      <c r="BS3" s="49">
        <f>IF(Application!D111=0,ROUND(0.65*Application!D98,2),ROUND(Application!D111,2))</f>
        <v>0</v>
      </c>
      <c r="BT3" s="49">
        <f>IF(Application!D110=0,ROUND(0.38*Application!D98,2),ROUND(Application!D110,2))</f>
        <v>0</v>
      </c>
      <c r="BU3" s="49">
        <f>IF(Application!D109=0,ROUND(0.22*Application!D98,2),ROUND(Application!D109,2))</f>
        <v>0</v>
      </c>
      <c r="BV3" s="49">
        <f>ROUND(Application!D144,2)</f>
        <v>0</v>
      </c>
      <c r="BW3" s="49">
        <f>ROUND(Application!D145,2)</f>
        <v>0</v>
      </c>
      <c r="BX3" s="49">
        <f>ROUND(Application!D146,2)</f>
        <v>0</v>
      </c>
      <c r="BY3" s="49">
        <f>ROUND(Application!D147,2)</f>
        <v>0</v>
      </c>
      <c r="BZ3" s="49">
        <f>ROUND(Application!D151,2)</f>
        <v>0</v>
      </c>
      <c r="CA3" s="49">
        <f>ROUND(Application!D152,2)</f>
        <v>0</v>
      </c>
      <c r="CB3" s="49">
        <f>ROUND(Application!D153,2)</f>
        <v>0</v>
      </c>
      <c r="CC3" s="49">
        <f>ROUND(Application!D154,2)</f>
        <v>0</v>
      </c>
      <c r="CD3" s="51">
        <f>CD30</f>
        <v>0</v>
      </c>
      <c r="CE3" s="49">
        <f>ROUND(Application!D217,2)</f>
        <v>0</v>
      </c>
      <c r="CF3" s="49">
        <f>ROUND(Application!D218,2)</f>
        <v>0</v>
      </c>
      <c r="CG3" s="34">
        <f>CG8</f>
        <v>0</v>
      </c>
      <c r="CH3" s="34">
        <f>Application!D165</f>
        <v>0</v>
      </c>
      <c r="CI3" s="34">
        <f>Application!D166</f>
        <v>0</v>
      </c>
      <c r="CJ3" s="484">
        <v>0</v>
      </c>
      <c r="CK3" s="484">
        <v>0</v>
      </c>
      <c r="CL3" s="34">
        <v>0</v>
      </c>
      <c r="CM3" s="34">
        <f>IF(OR(CM18&gt;1,CM17&gt;0,CM18=0),99,IF(CM13=1,0,IF(CM14=1,1,IF(CM15=1,3,IF(CM16=1,2,IF(CM12=1,4,IF(CM11=1,5,99)))))))</f>
        <v>99</v>
      </c>
      <c r="CN3" s="34">
        <f>IF(Application!C371=2,1,0)</f>
        <v>0</v>
      </c>
      <c r="CO3" s="34">
        <f>CO9</f>
        <v>0</v>
      </c>
      <c r="CP3" s="34">
        <f>Application!D114</f>
        <v>0</v>
      </c>
      <c r="CQ3" s="34">
        <f>IF(Application!C367=2,2,1)</f>
        <v>1</v>
      </c>
      <c r="CR3" s="34">
        <f>IF(Application!C368=2,1,0)</f>
        <v>0</v>
      </c>
      <c r="CS3" s="34">
        <f>IF(Application!C357&lt;2,0,Application!C357-2)</f>
        <v>0</v>
      </c>
      <c r="CT3" s="34">
        <f>Application!F180</f>
        <v>0</v>
      </c>
      <c r="CU3" s="34">
        <f>CU12</f>
        <v>99</v>
      </c>
      <c r="DP3" s="34" t="s">
        <v>4061</v>
      </c>
      <c r="ER3" s="53"/>
      <c r="ES3" s="53"/>
      <c r="ET3" s="53"/>
      <c r="EU3" s="53"/>
      <c r="EV3" s="53"/>
      <c r="EW3" s="53"/>
      <c r="EX3" s="53"/>
      <c r="EY3" s="53"/>
      <c r="EZ3" s="53"/>
      <c r="FA3" s="53"/>
      <c r="FB3" s="53"/>
    </row>
    <row r="4" spans="1:158">
      <c r="CJ4" s="484"/>
      <c r="CK4" s="484"/>
      <c r="ER4" s="53"/>
      <c r="ES4" s="53" t="s">
        <v>5225</v>
      </c>
      <c r="ET4" s="53" t="s">
        <v>5225</v>
      </c>
      <c r="EU4" s="53" t="s">
        <v>5225</v>
      </c>
      <c r="EV4" s="53" t="s">
        <v>5225</v>
      </c>
      <c r="EW4" s="53" t="s">
        <v>5225</v>
      </c>
      <c r="EX4" s="53" t="s">
        <v>5225</v>
      </c>
      <c r="EY4" s="53" t="s">
        <v>5225</v>
      </c>
      <c r="EZ4" s="53" t="s">
        <v>5225</v>
      </c>
      <c r="FA4" s="53" t="s">
        <v>5225</v>
      </c>
      <c r="FB4" s="53" t="s">
        <v>5225</v>
      </c>
    </row>
    <row r="5" spans="1:158">
      <c r="W5" s="34" t="s">
        <v>126</v>
      </c>
      <c r="AH5" s="40"/>
      <c r="CJ5" s="484" t="s">
        <v>4506</v>
      </c>
      <c r="CK5" s="484" t="s">
        <v>4506</v>
      </c>
      <c r="DO5" s="52" t="s">
        <v>3587</v>
      </c>
      <c r="DP5" s="34">
        <f>IF(OR(Application!C388=1,Application!C389=1),-1,IF(AND(Application!C388=2,Application!C389=2),0,IF(AND(Application!C388=3,Application!C389=2),1,IF(AND(Application!C388=2,Application!C389=3),6,IF(AND(Application!C388=3,Application!C389=3),7,-1)))))</f>
        <v>-1</v>
      </c>
      <c r="EG5" s="34">
        <f>ROUND(IF(Application!D120&lt;1.1*Application!D99,Application!D120*0.3,Application!D120*0.25),2)</f>
        <v>0</v>
      </c>
      <c r="ER5" s="53" t="s">
        <v>4526</v>
      </c>
      <c r="ES5" s="34"/>
      <c r="ET5" s="34"/>
    </row>
    <row r="6" spans="1:158">
      <c r="T6" s="307"/>
      <c r="W6" s="34" t="s">
        <v>127</v>
      </c>
      <c r="CJ6" s="484" t="s">
        <v>4655</v>
      </c>
      <c r="CK6" s="484" t="s">
        <v>4655</v>
      </c>
      <c r="DO6" s="52" t="s">
        <v>3588</v>
      </c>
      <c r="DP6" s="34">
        <f>IF(AND(Application!C388=4,Application!C389=2),4,IF(AND(Application!C388=4,Application!C389=3),8,IF(AND(Application!C388=2,Application!C389=3),6,IF(AND(Application!C388=3,Application!C389=3),7,IF(AND(Application!C388=4,Application!C389=3),8,-1)))))</f>
        <v>-1</v>
      </c>
      <c r="DZ6" s="34">
        <v>1</v>
      </c>
      <c r="ES6" s="34" t="s">
        <v>860</v>
      </c>
      <c r="ET6" s="34"/>
    </row>
    <row r="7" spans="1:158">
      <c r="AU7" s="52" t="s">
        <v>128</v>
      </c>
      <c r="AV7" s="34" t="b">
        <f>OR(AND(Application!C344&gt;1,Application!C344&lt;4),Application!C344&gt;9)</f>
        <v>0</v>
      </c>
      <c r="AX7" s="52" t="s">
        <v>3336</v>
      </c>
      <c r="CC7" s="52" t="s">
        <v>3954</v>
      </c>
      <c r="CL7" s="307">
        <v>2024</v>
      </c>
      <c r="CN7" s="52"/>
      <c r="CT7" s="39" t="s">
        <v>3584</v>
      </c>
      <c r="CU7" s="34">
        <f>IF(Application!C358=1,-1,IF(Application!C358&lt;3,0,IF(Application!C358=3,1,IF(Application!C358=4,2,IF(Application!C358=5,3,IF(Application!C358=6,4,IF(Application!C358=7,7,-1)))))))</f>
        <v>-1</v>
      </c>
      <c r="DZ7" s="34">
        <v>0</v>
      </c>
      <c r="ES7" s="34" t="s">
        <v>5226</v>
      </c>
      <c r="ET7" s="34"/>
    </row>
    <row r="8" spans="1:158">
      <c r="W8" s="34" t="s">
        <v>2215</v>
      </c>
      <c r="AA8" s="34">
        <f>IF(Application!C345&lt;8,1,IF(Application!C345&lt;11,2,IF(Application!C345&lt;13,3,IF(Application!C345=14,4,IF(Application!C345=13,5,99)))))</f>
        <v>1</v>
      </c>
      <c r="AU8" s="52" t="s">
        <v>130</v>
      </c>
      <c r="AV8" s="34" t="b">
        <f>AND(Application!C344=8)</f>
        <v>0</v>
      </c>
      <c r="AX8" s="52" t="s">
        <v>3337</v>
      </c>
      <c r="CC8" s="52" t="s">
        <v>3952</v>
      </c>
      <c r="CD8" s="33" t="b">
        <f>AND(Application!D144&gt;0,Application!D145&gt;0,Application!D146&gt;0,Application!D147&gt;0)</f>
        <v>0</v>
      </c>
      <c r="CG8" s="34">
        <f>IF(Application!C355=4,0,Application!C355-1)</f>
        <v>0</v>
      </c>
      <c r="CL8" s="307" t="s">
        <v>5473</v>
      </c>
      <c r="CN8" s="598" t="s">
        <v>5463</v>
      </c>
      <c r="CO8" s="599">
        <f>IF(Application!C366=1,0,(Application!C366-2))</f>
        <v>0</v>
      </c>
      <c r="CP8" s="574"/>
      <c r="CT8" s="39" t="s">
        <v>3585</v>
      </c>
      <c r="CU8" s="34">
        <f>IF(Application!C358=8,6,IF(Application!C358=9,8,-1))</f>
        <v>-1</v>
      </c>
      <c r="DO8" s="52" t="s">
        <v>3589</v>
      </c>
      <c r="DP8" s="34">
        <f>MAX(DP5:DP6)</f>
        <v>-1</v>
      </c>
      <c r="DZ8" s="34">
        <v>9</v>
      </c>
    </row>
    <row r="9" spans="1:158">
      <c r="AG9" s="52" t="s">
        <v>1641</v>
      </c>
      <c r="AH9" s="34">
        <f>IF(Application!C372=2,1,0)</f>
        <v>0</v>
      </c>
      <c r="AU9" s="52" t="s">
        <v>1642</v>
      </c>
      <c r="AV9" s="34" t="b">
        <f>AND(Application!C344=9)</f>
        <v>0</v>
      </c>
      <c r="AX9" s="52" t="s">
        <v>3338</v>
      </c>
      <c r="AY9" s="34" t="b">
        <f>AND(OR(Application!C349=2,Application!C349=3),OR(Application!C350=1,Application!C350=5))</f>
        <v>0</v>
      </c>
      <c r="CC9" s="52" t="s">
        <v>3951</v>
      </c>
      <c r="CD9" s="33">
        <f>IF(Application!F146&lt;0.1,0,1)</f>
        <v>0</v>
      </c>
      <c r="CL9" s="307" t="s">
        <v>5474</v>
      </c>
      <c r="CN9" s="600" t="s">
        <v>5464</v>
      </c>
      <c r="CO9" s="601">
        <f>IF(OR(CP3&gt;1,CP3=0),0,CO8)</f>
        <v>0</v>
      </c>
      <c r="CP9" s="574"/>
      <c r="CT9" s="39"/>
    </row>
    <row r="10" spans="1:158" ht="15">
      <c r="B10" s="50"/>
      <c r="D10" s="50"/>
      <c r="H10" s="39"/>
      <c r="U10" s="34">
        <v>1</v>
      </c>
      <c r="AG10" s="52" t="s">
        <v>1643</v>
      </c>
      <c r="AH10" s="34">
        <f>IF(Application!C373=2,1,0)</f>
        <v>0</v>
      </c>
      <c r="AU10" s="52" t="s">
        <v>1644</v>
      </c>
      <c r="AV10" s="34" t="b">
        <f>OR(Application!C344=5,Application!C344=6,Application!C344=7)</f>
        <v>0</v>
      </c>
      <c r="AX10" s="52" t="s">
        <v>3339</v>
      </c>
      <c r="AY10" s="34" t="b">
        <f>AND(Application!C349=11,OR(Application!C350=1,Application!C350=5),AND(Application!C345&gt;1,Application!C345&lt;8))</f>
        <v>0</v>
      </c>
      <c r="BN10" s="48">
        <f>IF(Application!D140+Application!D141=0,0,Application!D140+Application!D141)</f>
        <v>0</v>
      </c>
      <c r="CC10" s="52" t="s">
        <v>3953</v>
      </c>
      <c r="CD10" s="51" t="str">
        <f>IF(Application!F147&gt;Application!F146,"TRUE","FALSE")</f>
        <v>FALSE</v>
      </c>
      <c r="CN10" s="52"/>
      <c r="CP10" s="574"/>
      <c r="CT10" s="39" t="s">
        <v>3586</v>
      </c>
      <c r="CU10" s="34">
        <f>MAX(CU7:CU8)</f>
        <v>-1</v>
      </c>
      <c r="DP10" s="53" t="s">
        <v>4703</v>
      </c>
      <c r="DR10" s="307" t="s">
        <v>5428</v>
      </c>
      <c r="DZ10"/>
      <c r="EA10" s="196"/>
      <c r="EB10" s="196"/>
      <c r="EC10" s="196"/>
    </row>
    <row r="11" spans="1:158">
      <c r="H11" s="50"/>
      <c r="U11" s="34">
        <v>0</v>
      </c>
      <c r="AG11" s="52" t="s">
        <v>1645</v>
      </c>
      <c r="AH11" s="34" t="b">
        <f>AND(Application!C372=2,Application!C373=2)</f>
        <v>0</v>
      </c>
      <c r="AU11" s="52" t="s">
        <v>1646</v>
      </c>
      <c r="AV11" s="34" t="b">
        <f>OR(Application!C344=4)</f>
        <v>0</v>
      </c>
      <c r="AX11" s="52" t="s">
        <v>3340</v>
      </c>
      <c r="AY11" s="34" t="b">
        <f>AND(Application!C349=12,OR(Application!C350=1,Application!C350=5),AND(Application!C345&gt;1,Application!C345&lt;8))</f>
        <v>0</v>
      </c>
      <c r="BN11" s="49">
        <f>SUM(Application!D144:D154)+Application!F146+Application!F147+Application!F153+Application!F154</f>
        <v>0</v>
      </c>
      <c r="CL11" s="52" t="s">
        <v>4218</v>
      </c>
      <c r="CM11" s="34">
        <f>IF(Application!C359=7,1,0)</f>
        <v>0</v>
      </c>
      <c r="CN11" s="52"/>
      <c r="CO11" s="33"/>
      <c r="CP11" s="597"/>
      <c r="CT11" s="39" t="s">
        <v>3582</v>
      </c>
      <c r="CU11" s="34">
        <f>IF(CU10&lt;0,-1,IF(CU10=0,0,IF(Application!C379-1&gt;1,Inputs!CU10+10,Inputs!CU10)))</f>
        <v>-1</v>
      </c>
      <c r="DP11" s="53" t="s">
        <v>4704</v>
      </c>
      <c r="DR11" s="307" t="s">
        <v>5429</v>
      </c>
    </row>
    <row r="12" spans="1:158">
      <c r="H12" s="50"/>
      <c r="U12" s="34">
        <v>9</v>
      </c>
      <c r="AX12" s="52" t="s">
        <v>3341</v>
      </c>
      <c r="AY12" s="34" t="b">
        <f>AND(Application!C349=10,OR(Application!C350=1,Application!C350=5),AND(Application!C345&gt;1,Application!C345&lt;8))</f>
        <v>0</v>
      </c>
      <c r="CC12" s="52" t="s">
        <v>3958</v>
      </c>
      <c r="CL12" s="52" t="s">
        <v>4217</v>
      </c>
      <c r="CM12" s="34">
        <f>IF(Application!C359=6,1,0)</f>
        <v>0</v>
      </c>
      <c r="CN12" s="52"/>
      <c r="CP12" s="574"/>
      <c r="CT12" s="39" t="s">
        <v>3583</v>
      </c>
      <c r="CU12" s="34">
        <f>IF(Application!C357=1,99,IF(OR(Application!C357=2,Application!C357=3),0,IF(CU11=-1,99,IF(Application!C357&lt;4,0,Inputs!CU11))))</f>
        <v>99</v>
      </c>
      <c r="DP12" s="53" t="s">
        <v>4705</v>
      </c>
      <c r="DR12" s="307" t="s">
        <v>5430</v>
      </c>
      <c r="DX12" s="34">
        <f>IF(Application!C349=2,9,IF(Application!C349=3,8,IF(Application!C349=4,2,IF(Application!C349=5,10,IF(Application!C349=6,11,IF(Application!C349=7,12,IF(Application!C349=8,13,0)))))))</f>
        <v>0</v>
      </c>
    </row>
    <row r="13" spans="1:158">
      <c r="AX13" s="52" t="s">
        <v>3342</v>
      </c>
      <c r="AY13" s="34" t="b">
        <f>AND(Application!C349=11,Application!C345&gt;7,Application!C350=2)</f>
        <v>0</v>
      </c>
      <c r="BN13" s="469" t="s">
        <v>4656</v>
      </c>
      <c r="CC13" s="52" t="s">
        <v>3952</v>
      </c>
      <c r="CD13" s="33" t="b">
        <f>AND(Application!D151&gt;0,Application!D152&gt;0,Application!D153&gt;0,Application!D154&gt;0)</f>
        <v>0</v>
      </c>
      <c r="CL13" s="52" t="s">
        <v>3808</v>
      </c>
      <c r="CM13" s="34">
        <f>IF(Application!C359=5,1,0)</f>
        <v>0</v>
      </c>
      <c r="CP13" s="574"/>
      <c r="CT13" s="39"/>
      <c r="DP13" s="53" t="s">
        <v>4706</v>
      </c>
      <c r="DR13" s="307" t="s">
        <v>5431</v>
      </c>
      <c r="DX13" s="34">
        <f>IF(Application!C349=9,1,IF(Application!C349=10,4,IF(Application!C349=11,3,IF(Application!C349=12,5,IF(Application!C349=13,6,IF(Application!C349=14,7,IF(Application!C349=14,14,0)))))))</f>
        <v>0</v>
      </c>
    </row>
    <row r="14" spans="1:158">
      <c r="Y14" s="39"/>
      <c r="AX14" s="52" t="s">
        <v>3343</v>
      </c>
      <c r="AY14" s="53" t="b">
        <f>AND(OR(Application!C349=11,Application!C349=12),Application!C350=3,Application!C345&gt;7)</f>
        <v>0</v>
      </c>
      <c r="BN14" s="469" t="s">
        <v>4657</v>
      </c>
      <c r="CC14" s="52" t="s">
        <v>3951</v>
      </c>
      <c r="CD14" s="33">
        <f>IF(Application!F153&lt;0.1,0,1)</f>
        <v>0</v>
      </c>
      <c r="CL14" s="52" t="s">
        <v>3809</v>
      </c>
      <c r="CM14" s="34">
        <f>IF(Application!C359=4,1,0)</f>
        <v>0</v>
      </c>
      <c r="CT14" s="39"/>
      <c r="DP14" s="53" t="s">
        <v>4707</v>
      </c>
    </row>
    <row r="15" spans="1:158">
      <c r="Y15" s="39"/>
      <c r="AX15" s="52" t="s">
        <v>3344</v>
      </c>
      <c r="AY15" s="53" t="b">
        <f>AND(Application!C345&gt;7,Application!C349=10,Application!C350=3)</f>
        <v>0</v>
      </c>
      <c r="BN15" s="469" t="s">
        <v>4658</v>
      </c>
      <c r="CC15" s="52" t="s">
        <v>3953</v>
      </c>
      <c r="CD15" s="33" t="str">
        <f>IF(Application!F154&gt;Application!F153,"TRUE","FALSE")</f>
        <v>FALSE</v>
      </c>
      <c r="CL15" s="52" t="s">
        <v>3652</v>
      </c>
      <c r="CM15" s="34">
        <f>IF(Application!C359=3,1,0)</f>
        <v>0</v>
      </c>
      <c r="DP15" s="53" t="s">
        <v>4708</v>
      </c>
    </row>
    <row r="16" spans="1:158">
      <c r="Y16" s="39"/>
      <c r="AX16" s="52" t="s">
        <v>3345</v>
      </c>
      <c r="AY16" s="34" t="b">
        <f>AND(Application!C349=9,Application!C350=3,Application!C345&gt;7)</f>
        <v>0</v>
      </c>
      <c r="CL16" s="52" t="s">
        <v>3811</v>
      </c>
      <c r="CM16" s="34">
        <f>IF(Application!C359=2,1,0)</f>
        <v>0</v>
      </c>
      <c r="CT16" s="52"/>
    </row>
    <row r="17" spans="25:91">
      <c r="Y17" s="39"/>
      <c r="AX17" s="52" t="s">
        <v>4074</v>
      </c>
      <c r="AY17" s="34" t="b">
        <f>AND(Application!C349=6,Application!C350=3,Application!C345&gt;7)</f>
        <v>0</v>
      </c>
      <c r="CL17" s="52" t="s">
        <v>3810</v>
      </c>
      <c r="CM17" s="34">
        <f>IF(Application!C359=8,1,0)</f>
        <v>0</v>
      </c>
    </row>
    <row r="18" spans="25:91">
      <c r="Y18" s="39"/>
      <c r="AX18" s="52" t="s">
        <v>3593</v>
      </c>
      <c r="AY18" s="34" t="b">
        <f>AND(Application!C349=4,Application!C350=3,Application!C345&gt;7)</f>
        <v>0</v>
      </c>
      <c r="CC18" s="52" t="s">
        <v>3954</v>
      </c>
      <c r="CM18" s="34">
        <f>SUM(CM11:CM17)</f>
        <v>0</v>
      </c>
    </row>
    <row r="19" spans="25:91">
      <c r="Y19" s="39"/>
      <c r="AX19" s="52" t="s">
        <v>3594</v>
      </c>
      <c r="AY19" s="34" t="b">
        <f>AND(Application!C349=5,Application!C350=3,Application!C345&gt;7)</f>
        <v>0</v>
      </c>
      <c r="CC19" s="52" t="s">
        <v>3955</v>
      </c>
      <c r="CD19" s="33">
        <f>IF(CD8=TRUE,IF(CD9=0,IF(Application!F147&gt;Application!F146,ROUND(Application!F147,2),0),0),0)</f>
        <v>0</v>
      </c>
    </row>
    <row r="20" spans="25:91">
      <c r="Y20" s="39"/>
      <c r="AX20" s="52" t="s">
        <v>3346</v>
      </c>
      <c r="AY20" s="34" t="b">
        <f>AND(Application!C349=7,Application!C350=3,Application!C345&gt;7)</f>
        <v>0</v>
      </c>
      <c r="CC20" s="52" t="s">
        <v>3956</v>
      </c>
      <c r="CD20" s="33">
        <f>IF(CD8=FALSE,IF(CD9=1,IF(Application!F147&lt;Application!F146,Application!F146),0),0)</f>
        <v>0</v>
      </c>
    </row>
    <row r="21" spans="25:91">
      <c r="Y21" s="39"/>
      <c r="AX21" s="52" t="s">
        <v>3347</v>
      </c>
      <c r="AY21" s="34" t="b">
        <f>AND(Application!C349=8,Application!C350=3,Application!C345&gt;7)</f>
        <v>0</v>
      </c>
      <c r="CC21" s="52" t="s">
        <v>3961</v>
      </c>
      <c r="CD21" s="33">
        <f>IF(CD8=TRUE,IF(Application!F147&gt;Application!F146,ROUND(Application!F147,2),0),0)</f>
        <v>0</v>
      </c>
    </row>
    <row r="22" spans="25:91">
      <c r="Y22" s="39"/>
      <c r="AX22" s="52" t="s">
        <v>3348</v>
      </c>
      <c r="AY22" s="34" t="b">
        <f>AND(OR(Application!C349=2,Application!C349=3,),Application!C350=3,Application!C345&gt;7)</f>
        <v>0</v>
      </c>
      <c r="CC22" s="52" t="s">
        <v>3957</v>
      </c>
      <c r="CD22" s="33">
        <f>IF(CD8=TRUE,IF(Application!F147&lt;Application!F146,ROUND(Application!F146,2),0),0)</f>
        <v>0</v>
      </c>
    </row>
    <row r="23" spans="25:91">
      <c r="AX23" s="52" t="s">
        <v>918</v>
      </c>
      <c r="AY23" s="34" t="b">
        <f>OR(Application!C345=15,Application!C349&gt;12)</f>
        <v>0</v>
      </c>
    </row>
    <row r="24" spans="25:91">
      <c r="AX24" s="52" t="s">
        <v>2857</v>
      </c>
      <c r="AY24" s="34" t="b">
        <f>AND(OR(Application!C345=8,Application!C345=9,Application!C345=10),Application!C349=11,OR(Application!C350=1,Application!C350=5))</f>
        <v>0</v>
      </c>
      <c r="CC24" s="52" t="s">
        <v>3958</v>
      </c>
    </row>
    <row r="25" spans="25:91">
      <c r="AX25" s="52" t="s">
        <v>2858</v>
      </c>
      <c r="AY25" s="34" t="b">
        <f>AND(OR(Application!C345=8,Application!C345=9,Application!C345=10),Application!C349=12,OR(Application!C350=1,Application!C350=5))</f>
        <v>0</v>
      </c>
      <c r="CC25" s="52" t="s">
        <v>3955</v>
      </c>
      <c r="CD25" s="33">
        <f>IF(CD13=TRUE,IF(CD14=0,IF(Application!F154&gt;Application!F153,ROUND(Application!F154,2),0),0),0)</f>
        <v>0</v>
      </c>
    </row>
    <row r="26" spans="25:91">
      <c r="AX26" s="52" t="s">
        <v>3183</v>
      </c>
      <c r="AY26" s="34" t="b">
        <f>AND(OR(Application!C345=8,Application!C345=9,Application!C345=10),Application!C349=10,OR(Application!C350=1,Application!C350=5))</f>
        <v>0</v>
      </c>
      <c r="CC26" s="52" t="s">
        <v>3956</v>
      </c>
      <c r="CD26" s="33">
        <f>IF(CD13=FALSE,IF(CD14=1,IF(Application!F154&lt;Application!F153,Application!F153),0),0)</f>
        <v>0</v>
      </c>
    </row>
    <row r="27" spans="25:91">
      <c r="CC27" s="52" t="s">
        <v>3957</v>
      </c>
      <c r="CD27" s="33">
        <f>IF(CD13=TRUE,IF(Application!F154&gt;Application!F153,ROUND(Application!F154,2),0),0)</f>
        <v>0</v>
      </c>
    </row>
    <row r="28" spans="25:91">
      <c r="AX28" s="52" t="s">
        <v>2857</v>
      </c>
      <c r="AY28" s="34" t="b">
        <f>OR(AY13=TRUE,AY24=TRUE)</f>
        <v>0</v>
      </c>
      <c r="CC28" s="52" t="s">
        <v>3961</v>
      </c>
      <c r="CD28" s="33">
        <f>IF(CD13=TRUE,IF(Application!F969&lt;Application!F153,ROUND(Application!F153,2),0),0)</f>
        <v>0</v>
      </c>
    </row>
    <row r="29" spans="25:91">
      <c r="AX29" s="52" t="s">
        <v>2858</v>
      </c>
      <c r="AY29" s="34" t="b">
        <f>OR(AY14=TRUE,AY25=TRUE)</f>
        <v>0</v>
      </c>
    </row>
    <row r="30" spans="25:91">
      <c r="AX30" s="52" t="s">
        <v>3183</v>
      </c>
      <c r="AY30" s="34" t="b">
        <f>OR(AY15=TRUE,AY26=TRUE)</f>
        <v>0</v>
      </c>
      <c r="CC30" s="52" t="s">
        <v>3959</v>
      </c>
      <c r="CD30" s="33">
        <f>MAX(CD19:CD28)</f>
        <v>0</v>
      </c>
    </row>
    <row r="32" spans="25:91">
      <c r="AY32" s="34">
        <f>IF(AY9=TRUE,3,IF(AY10=TRUE,4,IF(AY11=TRUE,5,IF(AY12=TRUE,6,IF(AY28=TRUE,7,IF(AY29=TRUE,8,IF(AY30=TRUE,9,0)))))))</f>
        <v>0</v>
      </c>
    </row>
    <row r="33" spans="10:53">
      <c r="AY33" s="34">
        <f>IF(AY16=TRUE,10,IF(AY17=TRUE,11,IF(AY18=TRUE,12,IF(AY19=TRUE,12.5,IF(AY20=TRUE,13,IF(AY21=TRUE,14,IF(AY22=TRUE,15,IF(AY23=TRUE,99,0))))))))</f>
        <v>0</v>
      </c>
    </row>
    <row r="34" spans="10:53">
      <c r="J34" s="34" t="b">
        <v>1</v>
      </c>
    </row>
    <row r="35" spans="10:53">
      <c r="J35" s="34" t="b">
        <v>1</v>
      </c>
    </row>
    <row r="37" spans="10:53">
      <c r="AY37" s="52" t="s">
        <v>919</v>
      </c>
      <c r="AZ37" s="34" t="b">
        <f>AND(Application!C349&gt;3,OR(Application!C350=1,Application!C350=5))</f>
        <v>0</v>
      </c>
    </row>
    <row r="38" spans="10:53">
      <c r="AY38" s="52" t="s">
        <v>920</v>
      </c>
      <c r="AZ38" s="34" t="b">
        <f>OR(Application!C350=2,Application!C350=3)</f>
        <v>0</v>
      </c>
    </row>
    <row r="39" spans="10:53">
      <c r="AY39" s="52" t="s">
        <v>921</v>
      </c>
      <c r="AZ39" s="34" t="b">
        <f>AND(Application!C349&gt;1,Application!C349&lt;4,OR(Application!C350=1,Application!C350=5))</f>
        <v>0</v>
      </c>
    </row>
    <row r="41" spans="10:53">
      <c r="AZ41" s="52" t="s">
        <v>129</v>
      </c>
      <c r="BA41" s="34" t="b">
        <f>AND(Application!C363&lt;&gt;2,Application!C413&lt;&gt;2)</f>
        <v>1</v>
      </c>
    </row>
    <row r="42" spans="10:53">
      <c r="AZ42" s="52" t="s">
        <v>922</v>
      </c>
      <c r="BA42" s="34" t="b">
        <f>(Application!C363=2)</f>
        <v>0</v>
      </c>
    </row>
    <row r="43" spans="10:53">
      <c r="AZ43" s="52" t="s">
        <v>923</v>
      </c>
      <c r="BA43" s="34" t="b">
        <f>OR(Application!C413=2,Application!C344=10)</f>
        <v>0</v>
      </c>
    </row>
    <row r="44" spans="10:53">
      <c r="AZ44" s="52" t="s">
        <v>924</v>
      </c>
      <c r="BA44" s="34" t="b">
        <f>AND(Application!C363=2,Application!C413=2)</f>
        <v>0</v>
      </c>
    </row>
  </sheetData>
  <sheetProtection algorithmName="SHA-512" hashValue="a/GlxwOq26H2KQchpYz5g+J5hELsqyKW1z+YJPv06olLqsba75+kj1Ouo6mMMACJSRSj32D0zTf+MiBZl0nYhw==" saltValue="XoPZA6A25rW0YCv7/186qw==" spinCount="100000" sheet="1" objects="1" scenarios="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defaultColWidth="9.15234375" defaultRowHeight="12.45"/>
  <cols>
    <col min="1" max="1" width="9.15234375" style="142"/>
    <col min="2" max="2" width="10.84375" style="142" bestFit="1" customWidth="1"/>
    <col min="3" max="3" width="9.15234375" style="142"/>
    <col min="4" max="4" width="7.53515625" style="142" bestFit="1" customWidth="1"/>
    <col min="5" max="16384" width="9.15234375" style="142"/>
  </cols>
  <sheetData>
    <row r="1" spans="1:25" s="145" customFormat="1">
      <c r="A1" s="145">
        <f>Application!H441</f>
        <v>6</v>
      </c>
      <c r="B1" s="145" t="s">
        <v>3190</v>
      </c>
      <c r="D1" s="145" t="str">
        <f>LOOKUP($A$1,'Lang Header'!$A$3:$A$9,'Lang Header'!D3:D9)</f>
        <v>IRCレーティング申告書</v>
      </c>
      <c r="E1" s="145" t="str">
        <f>LOOKUP($A$1,'Lang Header'!$A$3:$A$9,'Lang Header'!E3:E9)</f>
        <v>Application for a certificate</v>
      </c>
      <c r="F1" s="145" t="str">
        <f>LOOKUP($A$1,'Lang Header'!$A$3:$A$9,'Lang Header'!F3:F9)</f>
        <v>言語を選んでください：</v>
      </c>
      <c r="G1" s="145" t="str">
        <f>LOOKUP($A$1,'Lang Header'!$A$3:$A$9,'Lang Header'!G3:G9)</f>
        <v>申告書作成の前にお読みください</v>
      </c>
      <c r="H1" s="145" t="str">
        <f>LOOKUP($A$1,'Lang Header'!$A$3:$A$9,'Lang Header'!H3:H9)</f>
        <v>変更やトライアルの申告は、本申告書でなく、専用の申告書をお使い下さい。</v>
      </c>
      <c r="I1" s="145" t="str">
        <f>LOOKUP($A$1,'Lang Header'!$A$3:$A$9,'Lang Header'!I3:I9)</f>
        <v>1．ｍおよび㎏の単位で記載下さい。詳細が不明の場合、デフォールト値を採用することもできます。</v>
      </c>
      <c r="J1" s="145" t="str">
        <f>LOOKUP($A$1,'Lang Header'!$A$3:$A$9,'Lang Header'!J3:J9)</f>
        <v>2．数値は、9.99のように記載し、mや㎏を加えないで下さい！</v>
      </c>
      <c r="K1" s="145" t="str">
        <f>LOOKUP($A$1,'Lang Header'!$A$3:$A$9,'Lang Header'!K3:K9)</f>
        <v>8．必要なら、申告書下欄の余白に追加情報を記載下さい（別途Eメールでも受け付けます）。</v>
      </c>
      <c r="L1" s="145" t="str">
        <f>LOOKUP($A$1,'Lang Header'!$A$3:$A$9,'Lang Header'!L3:L9)</f>
        <v>3．適用無しなどの欄はブランクにし、´適用無し´等の記載は行わないで下さい。</v>
      </c>
      <c r="M1" s="145" t="str">
        <f>LOOKUP($A$1,'Lang Header'!$A$3:$A$9,'Lang Header'!M3:M9)</f>
        <v>VALIDATIONシートを見て、データのチェックを行なって下さい。</v>
      </c>
      <c r="N1" s="145" t="str">
        <f>LOOKUP($A$1,'Lang Header'!$A$3:$A$9,'Lang Header'!N3:N9)</f>
        <v>4．新しいデザインの場合、側面／平面／セールプラン等の図面を添付して下さい；追加の情報を要求する場合もあります。</v>
      </c>
      <c r="O1" s="145" t="str">
        <f>LOOKUP($A$1,'Lang Header'!$A$3:$A$9,'Lang Header'!O3:O9)</f>
        <v>本申告書は、AからG欄を4ページで印刷するように設定されていますが、全てのワークシートを提出して下さい。</v>
      </c>
      <c r="P1" s="145" t="str">
        <f>LOOKUP($A$1,'Lang Header'!$A$3:$A$9,'Lang Header'!P3:P9)</f>
        <v>ルールやその他の専門情報は、IRCウェブサイト、www.jsafirc.comから入手できます。</v>
      </c>
      <c r="Q1" s="145">
        <f>LOOKUP($A$1,'Lang Header'!$A$3:$A$8,'Lang Header'!Q3:Q8)</f>
        <v>0</v>
      </c>
      <c r="R1" s="145">
        <f>LOOKUP($A$1,'Lang Header'!$A$3:$A$8,'Lang Header'!R3:R8)</f>
        <v>0</v>
      </c>
      <c r="S1" s="145">
        <f>LOOKUP($A$1,'Lang Header'!$A$3:$A$8,'Lang Header'!S3:S8)</f>
        <v>0</v>
      </c>
      <c r="T1" s="145">
        <f>LOOKUP($A$1,'Lang Header'!$A$3:$A$8,'Lang Header'!T3:T8)</f>
        <v>0</v>
      </c>
      <c r="U1" s="145">
        <f>LOOKUP($A$1,'Lang Header'!$A$3:$A$8,'Lang Header'!U3:U8)</f>
        <v>0</v>
      </c>
      <c r="V1" s="145">
        <f>LOOKUP($A$1,'Lang Header'!$A$3:$A$8,'Lang Header'!V3:V8)</f>
        <v>0</v>
      </c>
      <c r="W1" s="145">
        <f>LOOKUP($A$1,'Lang Header'!$A$3:$A$8,'Lang Header'!W3:W8)</f>
        <v>0</v>
      </c>
      <c r="X1" s="145">
        <f>LOOKUP($A$1,'Lang Header'!$A$3:$A$8,'Lang Header'!X3:X8)</f>
        <v>0</v>
      </c>
      <c r="Y1" s="145">
        <f>LOOKUP($A$1,'Lang Header'!$A$3:$A$8,'Lang Header'!Y3:Y8)</f>
        <v>0</v>
      </c>
    </row>
    <row r="3" spans="1:25" ht="12.9">
      <c r="A3" s="53">
        <v>1</v>
      </c>
      <c r="B3" s="53" t="s">
        <v>3191</v>
      </c>
      <c r="C3" s="53"/>
      <c r="D3" s="296" t="s">
        <v>907</v>
      </c>
      <c r="E3" s="296" t="s">
        <v>4294</v>
      </c>
      <c r="F3" s="95" t="s">
        <v>2252</v>
      </c>
      <c r="G3" s="95" t="s">
        <v>204</v>
      </c>
      <c r="H3" s="60" t="s">
        <v>2856</v>
      </c>
      <c r="I3" s="95" t="s">
        <v>4072</v>
      </c>
      <c r="J3" s="95" t="s">
        <v>3315</v>
      </c>
      <c r="K3" s="95" t="s">
        <v>1372</v>
      </c>
      <c r="L3" s="95" t="s">
        <v>3765</v>
      </c>
      <c r="M3" s="296" t="s">
        <v>4510</v>
      </c>
      <c r="N3" s="296" t="s">
        <v>1937</v>
      </c>
      <c r="O3" s="296" t="s">
        <v>8</v>
      </c>
      <c r="P3" s="296" t="s">
        <v>4724</v>
      </c>
      <c r="Q3" s="95" t="s">
        <v>3289</v>
      </c>
    </row>
    <row r="4" spans="1:25">
      <c r="A4" s="142">
        <v>2</v>
      </c>
      <c r="B4" s="142" t="s">
        <v>3192</v>
      </c>
      <c r="D4" s="53" t="s">
        <v>4257</v>
      </c>
      <c r="E4" s="53" t="s">
        <v>4295</v>
      </c>
      <c r="F4" s="142" t="s">
        <v>1971</v>
      </c>
      <c r="G4" s="142" t="s">
        <v>1483</v>
      </c>
      <c r="H4" s="95" t="s">
        <v>3203</v>
      </c>
      <c r="I4" s="142" t="s">
        <v>1484</v>
      </c>
      <c r="J4" s="142" t="s">
        <v>1485</v>
      </c>
      <c r="K4" s="142" t="s">
        <v>1448</v>
      </c>
      <c r="L4" s="142" t="s">
        <v>1486</v>
      </c>
      <c r="M4" s="53" t="s">
        <v>4511</v>
      </c>
      <c r="N4" s="142" t="s">
        <v>1487</v>
      </c>
      <c r="O4" s="142" t="s">
        <v>1488</v>
      </c>
      <c r="P4" s="53" t="s">
        <v>5495</v>
      </c>
      <c r="Q4" s="142" t="s">
        <v>2750</v>
      </c>
    </row>
    <row r="5" spans="1:25">
      <c r="A5" s="142">
        <v>3</v>
      </c>
      <c r="B5" s="142" t="s">
        <v>3193</v>
      </c>
      <c r="D5" s="95" t="s">
        <v>907</v>
      </c>
      <c r="E5" s="298" t="s">
        <v>4296</v>
      </c>
      <c r="F5" s="83" t="s">
        <v>1725</v>
      </c>
      <c r="G5" s="83" t="s">
        <v>1726</v>
      </c>
      <c r="H5" s="83" t="s">
        <v>1727</v>
      </c>
      <c r="I5" s="83" t="s">
        <v>1728</v>
      </c>
      <c r="J5" s="143" t="s">
        <v>3314</v>
      </c>
      <c r="K5" s="83" t="s">
        <v>1449</v>
      </c>
      <c r="L5" s="83" t="s">
        <v>2919</v>
      </c>
      <c r="M5" s="297" t="s">
        <v>4512</v>
      </c>
      <c r="N5" s="144" t="s">
        <v>2920</v>
      </c>
      <c r="O5" s="144" t="s">
        <v>1083</v>
      </c>
      <c r="P5" s="83" t="s">
        <v>3748</v>
      </c>
      <c r="Q5" s="83" t="s">
        <v>2921</v>
      </c>
    </row>
    <row r="6" spans="1:25">
      <c r="A6" s="142">
        <v>4</v>
      </c>
      <c r="B6" s="142" t="s">
        <v>3194</v>
      </c>
      <c r="D6" s="95" t="s">
        <v>907</v>
      </c>
      <c r="E6" s="95"/>
      <c r="F6" s="95"/>
      <c r="G6" s="95"/>
      <c r="H6" s="95"/>
      <c r="I6" s="95"/>
      <c r="J6" s="95"/>
      <c r="K6" s="95"/>
      <c r="L6" s="95"/>
      <c r="P6" s="95"/>
      <c r="Q6" s="95"/>
    </row>
    <row r="7" spans="1:25">
      <c r="A7" s="142">
        <v>5</v>
      </c>
      <c r="B7" s="142" t="s">
        <v>3195</v>
      </c>
      <c r="D7" s="95" t="s">
        <v>907</v>
      </c>
      <c r="E7" s="298" t="s">
        <v>4297</v>
      </c>
      <c r="F7" s="83" t="s">
        <v>2688</v>
      </c>
      <c r="G7" s="83" t="s">
        <v>2689</v>
      </c>
      <c r="H7" s="83" t="s">
        <v>2690</v>
      </c>
      <c r="I7" s="83" t="s">
        <v>3684</v>
      </c>
      <c r="J7" s="83" t="s">
        <v>3685</v>
      </c>
      <c r="K7" s="83" t="s">
        <v>1450</v>
      </c>
      <c r="L7" s="83" t="s">
        <v>1088</v>
      </c>
      <c r="M7" s="297" t="s">
        <v>4513</v>
      </c>
      <c r="N7" s="144" t="s">
        <v>1902</v>
      </c>
      <c r="O7" s="144" t="s">
        <v>7</v>
      </c>
      <c r="P7" s="83" t="s">
        <v>3749</v>
      </c>
      <c r="Q7" s="83" t="s">
        <v>2836</v>
      </c>
    </row>
    <row r="8" spans="1:25" s="139" customFormat="1">
      <c r="A8" s="139">
        <v>6</v>
      </c>
      <c r="B8" s="139" t="s">
        <v>3110</v>
      </c>
      <c r="D8" s="139" t="s">
        <v>384</v>
      </c>
      <c r="E8" s="296" t="s">
        <v>4294</v>
      </c>
      <c r="F8" s="139" t="s">
        <v>385</v>
      </c>
      <c r="G8" s="139" t="s">
        <v>386</v>
      </c>
      <c r="H8" s="139" t="s">
        <v>387</v>
      </c>
      <c r="I8" s="139" t="s">
        <v>388</v>
      </c>
      <c r="J8" s="139" t="s">
        <v>1501</v>
      </c>
      <c r="K8" s="139" t="s">
        <v>1502</v>
      </c>
      <c r="L8" s="139" t="s">
        <v>1503</v>
      </c>
      <c r="M8" s="139" t="s">
        <v>4514</v>
      </c>
      <c r="N8" s="139" t="s">
        <v>1504</v>
      </c>
      <c r="O8" s="139" t="s">
        <v>1505</v>
      </c>
      <c r="P8" s="95" t="s">
        <v>3464</v>
      </c>
      <c r="Q8" s="95"/>
    </row>
    <row r="9" spans="1:25" s="510" customFormat="1">
      <c r="A9" s="510">
        <v>7</v>
      </c>
      <c r="B9" s="510" t="s">
        <v>4775</v>
      </c>
      <c r="D9" s="510" t="s">
        <v>4778</v>
      </c>
      <c r="E9" s="510" t="s">
        <v>4779</v>
      </c>
      <c r="F9" s="510" t="s">
        <v>4780</v>
      </c>
      <c r="G9" s="510" t="s">
        <v>4781</v>
      </c>
      <c r="H9" s="510" t="s">
        <v>4782</v>
      </c>
      <c r="I9" s="510" t="s">
        <v>4783</v>
      </c>
      <c r="J9" s="510" t="s">
        <v>4784</v>
      </c>
      <c r="K9" s="510" t="s">
        <v>4785</v>
      </c>
      <c r="L9" s="510" t="s">
        <v>4786</v>
      </c>
      <c r="M9" s="510" t="s">
        <v>4787</v>
      </c>
      <c r="N9" s="523" t="s">
        <v>4788</v>
      </c>
      <c r="O9" s="523" t="s">
        <v>4789</v>
      </c>
      <c r="P9" s="523" t="s">
        <v>4790</v>
      </c>
      <c r="Q9" s="523" t="s">
        <v>4791</v>
      </c>
      <c r="R9" s="523"/>
    </row>
    <row r="10" spans="1:25">
      <c r="N10" s="95"/>
      <c r="O10" s="95"/>
      <c r="P10" s="95"/>
      <c r="Q10" s="95"/>
      <c r="R10" s="95"/>
    </row>
    <row r="11" spans="1:25">
      <c r="M11" s="95"/>
      <c r="N11" s="95"/>
      <c r="O11" s="95"/>
      <c r="P11" s="95"/>
      <c r="Q11" s="95"/>
    </row>
    <row r="12" spans="1:25" s="145" customFormat="1">
      <c r="B12" s="145" t="s">
        <v>2751</v>
      </c>
      <c r="D12" s="145" t="str">
        <f>LOOKUP($A$1,'Lang Header'!$A$3:$A$9,'Lang Header'!D14:D20)</f>
        <v>5．量産艇の場合、Standard hullsシートおよびwww.ircrating.orgも参照して下さい。</v>
      </c>
      <c r="E12" s="145" t="str">
        <f>LOOKUP($A$1,'Lang Header'!$A$3:$A$9,'Lang Header'!E14:E20)</f>
        <v>6．キールタイプの定義はKeel shapesシートをご覧ください。</v>
      </c>
      <c r="F12" s="145" t="str">
        <f>LOOKUP($A$1,'Lang Header'!$A$3:$A$9,'Lang Header'!F14:F20)</f>
        <v>7．セールのデータはセールメーカーから提供を受けられます。</v>
      </c>
      <c r="G12" s="145" t="str">
        <f>LOOKUP($A$1,'Lang Header'!$A$3:$A$9,'Lang Header'!G14:G20)</f>
        <v>右欄の注意事項をお読みください！</v>
      </c>
      <c r="H12" s="145" t="str">
        <f>LOOKUP($A$1,'Lang Header'!$A$3:$A$9,'Lang Header'!H14:H20)</f>
        <v>下のカラーは、シートタブのカラーに対応しています</v>
      </c>
      <c r="I12" s="145" t="str">
        <f>LOOKUP($A$1,'Lang Header'!$A$3:$A$9,'Lang Header'!I14:I20)</f>
        <v>SECTION 1 - MEASUREMENTS</v>
      </c>
      <c r="J12" s="145" t="str">
        <f>LOOKUP($A$1,'Lang Header'!$A$3:$A$9,'Lang Header'!J14:J20)</f>
        <v>計測の定義</v>
      </c>
      <c r="K12" s="145" t="str">
        <f>LOOKUP($A$1,'Lang Header'!$A$3:$A$9,'Lang Header'!K14:K20)</f>
        <v>IRCルール本文</v>
      </c>
      <c r="L12" s="145" t="str">
        <f>LOOKUP($A$1,'Lang Header'!$A$3:$A$9,'Lang Header'!L14:L20)</f>
        <v>計測の図式</v>
      </c>
      <c r="M12" s="145" t="str">
        <f>LOOKUP($A$1,'Lang Header'!$A$3:$A$9,'Lang Header'!M14:M20)</f>
        <v>eg.First 40, J97, Half Ton</v>
      </c>
      <c r="N12" s="145" t="str">
        <f>LOOKUP($A$1,'Lang Header'!$A$3:$A$9,'Lang Header'!N14:N20)</f>
        <v>eg. Custom, wing keel, tall rig</v>
      </c>
      <c r="O12" s="145" t="str">
        <f>LOOKUP($A$1,'Lang Header'!$A$3:$A$9,'Lang Header'!O14:O20)</f>
        <v>ALL BOATS</v>
      </c>
      <c r="P12" s="145" t="str">
        <f>LOOKUP($A$1,'Lang Header'!$A$3:$A$9,'Lang Header'!P14:P20)</f>
        <v>リストにない場合</v>
      </c>
      <c r="Q12" s="146"/>
    </row>
    <row r="13" spans="1:25">
      <c r="M13" s="95"/>
      <c r="N13" s="95"/>
      <c r="O13" s="95"/>
      <c r="P13" s="95"/>
      <c r="Q13" s="95"/>
    </row>
    <row r="14" spans="1:25" ht="12.75" customHeight="1">
      <c r="A14" s="142">
        <v>1</v>
      </c>
      <c r="B14" s="142" t="s">
        <v>3191</v>
      </c>
      <c r="D14" s="53" t="s">
        <v>389</v>
      </c>
      <c r="E14" s="53" t="s">
        <v>4060</v>
      </c>
      <c r="F14" s="53" t="s">
        <v>1938</v>
      </c>
      <c r="G14" s="102" t="s">
        <v>2188</v>
      </c>
      <c r="H14" s="532" t="s">
        <v>2408</v>
      </c>
      <c r="I14" s="195" t="s">
        <v>134</v>
      </c>
      <c r="J14" s="195" t="s">
        <v>4064</v>
      </c>
      <c r="K14" s="195" t="s">
        <v>4065</v>
      </c>
      <c r="L14" s="195" t="s">
        <v>4067</v>
      </c>
      <c r="M14" s="306" t="s">
        <v>4354</v>
      </c>
      <c r="N14" s="296" t="s">
        <v>2289</v>
      </c>
      <c r="O14" s="95" t="s">
        <v>2292</v>
      </c>
      <c r="P14" s="95" t="s">
        <v>2293</v>
      </c>
      <c r="Q14" s="95"/>
    </row>
    <row r="15" spans="1:25">
      <c r="A15" s="142">
        <v>2</v>
      </c>
      <c r="B15" s="142" t="s">
        <v>3192</v>
      </c>
      <c r="D15" s="20" t="s">
        <v>2130</v>
      </c>
      <c r="E15" s="20" t="s">
        <v>3131</v>
      </c>
      <c r="F15" s="20" t="s">
        <v>3132</v>
      </c>
      <c r="G15" s="142" t="s">
        <v>97</v>
      </c>
      <c r="H15" s="20" t="s">
        <v>2129</v>
      </c>
      <c r="I15" s="149" t="s">
        <v>134</v>
      </c>
      <c r="J15" s="20" t="s">
        <v>44</v>
      </c>
      <c r="K15" s="20" t="s">
        <v>3461</v>
      </c>
      <c r="L15" s="20" t="s">
        <v>1866</v>
      </c>
      <c r="M15" s="306" t="s">
        <v>4540</v>
      </c>
      <c r="N15" s="296" t="s">
        <v>4542</v>
      </c>
      <c r="O15" s="219" t="s">
        <v>2292</v>
      </c>
      <c r="P15" s="219" t="s">
        <v>2293</v>
      </c>
      <c r="Q15" s="95"/>
    </row>
    <row r="16" spans="1:25">
      <c r="A16" s="142">
        <v>3</v>
      </c>
      <c r="B16" s="142" t="s">
        <v>3193</v>
      </c>
      <c r="D16" s="20" t="s">
        <v>891</v>
      </c>
      <c r="E16" s="20" t="s">
        <v>892</v>
      </c>
      <c r="F16" s="20" t="s">
        <v>893</v>
      </c>
      <c r="G16" s="142" t="s">
        <v>894</v>
      </c>
      <c r="H16" s="20" t="s">
        <v>1490</v>
      </c>
      <c r="I16" s="149" t="s">
        <v>134</v>
      </c>
      <c r="J16" s="20" t="s">
        <v>1878</v>
      </c>
      <c r="K16" s="20" t="s">
        <v>1879</v>
      </c>
      <c r="L16" s="20" t="s">
        <v>1880</v>
      </c>
      <c r="M16" s="306" t="s">
        <v>4541</v>
      </c>
      <c r="N16" s="296" t="s">
        <v>4543</v>
      </c>
      <c r="O16" s="219" t="s">
        <v>2292</v>
      </c>
      <c r="P16" s="219" t="s">
        <v>2293</v>
      </c>
      <c r="Q16" s="95"/>
    </row>
    <row r="17" spans="1:16">
      <c r="A17" s="142">
        <v>4</v>
      </c>
      <c r="B17" s="142" t="s">
        <v>3194</v>
      </c>
      <c r="M17" s="306"/>
      <c r="N17" s="95"/>
      <c r="O17" s="219"/>
      <c r="P17" s="219"/>
    </row>
    <row r="18" spans="1:16">
      <c r="A18" s="142">
        <v>5</v>
      </c>
      <c r="B18" s="142" t="s">
        <v>3195</v>
      </c>
      <c r="D18" s="20" t="s">
        <v>2195</v>
      </c>
      <c r="E18" s="20" t="s">
        <v>2196</v>
      </c>
      <c r="F18" s="20" t="s">
        <v>4159</v>
      </c>
      <c r="G18" s="142" t="s">
        <v>4160</v>
      </c>
      <c r="H18" s="20" t="s">
        <v>895</v>
      </c>
      <c r="I18" s="149" t="s">
        <v>134</v>
      </c>
      <c r="J18" s="20" t="s">
        <v>29</v>
      </c>
      <c r="K18" s="20" t="s">
        <v>30</v>
      </c>
      <c r="L18" s="281" t="s">
        <v>31</v>
      </c>
      <c r="M18" s="472" t="s">
        <v>4354</v>
      </c>
      <c r="N18" s="340" t="s">
        <v>2289</v>
      </c>
      <c r="O18" s="219" t="s">
        <v>2292</v>
      </c>
      <c r="P18" s="219" t="s">
        <v>2293</v>
      </c>
    </row>
    <row r="19" spans="1:16" s="139" customFormat="1">
      <c r="A19" s="139">
        <v>6</v>
      </c>
      <c r="B19" s="139" t="s">
        <v>3110</v>
      </c>
      <c r="D19" s="20" t="s">
        <v>3465</v>
      </c>
      <c r="E19" s="20" t="s">
        <v>3466</v>
      </c>
      <c r="F19" s="20" t="s">
        <v>3467</v>
      </c>
      <c r="G19" s="139" t="s">
        <v>3468</v>
      </c>
      <c r="H19" s="139" t="s">
        <v>3469</v>
      </c>
      <c r="I19" s="149" t="s">
        <v>134</v>
      </c>
      <c r="J19" s="139" t="s">
        <v>1730</v>
      </c>
      <c r="K19" s="139" t="s">
        <v>1731</v>
      </c>
      <c r="L19" s="139" t="s">
        <v>1732</v>
      </c>
      <c r="M19" s="306" t="s">
        <v>4354</v>
      </c>
      <c r="N19" s="95" t="s">
        <v>2289</v>
      </c>
      <c r="O19" s="219" t="s">
        <v>2292</v>
      </c>
      <c r="P19" s="219" t="s">
        <v>1884</v>
      </c>
    </row>
    <row r="20" spans="1:16" s="510" customFormat="1">
      <c r="A20" s="510">
        <v>7</v>
      </c>
      <c r="B20" s="510" t="s">
        <v>4775</v>
      </c>
      <c r="D20" s="510" t="s">
        <v>4792</v>
      </c>
      <c r="E20" s="510" t="s">
        <v>4793</v>
      </c>
      <c r="F20" s="510" t="s">
        <v>4794</v>
      </c>
      <c r="G20" s="510" t="s">
        <v>4795</v>
      </c>
      <c r="H20" s="510" t="s">
        <v>4796</v>
      </c>
      <c r="I20" s="510" t="s">
        <v>4797</v>
      </c>
      <c r="J20" s="510" t="s">
        <v>4798</v>
      </c>
      <c r="K20" s="510" t="s">
        <v>4799</v>
      </c>
      <c r="L20" s="510" t="s">
        <v>4800</v>
      </c>
      <c r="M20" s="510" t="s">
        <v>4801</v>
      </c>
      <c r="N20" s="510" t="s">
        <v>4802</v>
      </c>
      <c r="O20" s="510" t="s">
        <v>4803</v>
      </c>
      <c r="P20" s="510" t="s">
        <v>4804</v>
      </c>
    </row>
    <row r="23" spans="1:16">
      <c r="G23" s="102"/>
      <c r="J23" s="102"/>
      <c r="K23" s="102"/>
    </row>
    <row r="24" spans="1:16">
      <c r="F24" s="102"/>
      <c r="G24" s="102"/>
      <c r="H24" s="102"/>
      <c r="I24" s="102"/>
      <c r="J24" s="102"/>
      <c r="K24" s="102"/>
    </row>
    <row r="25" spans="1:16">
      <c r="F25" s="102"/>
      <c r="G25" s="102"/>
      <c r="H25" s="102"/>
      <c r="I25" s="102"/>
      <c r="J25" s="102"/>
      <c r="K25" s="102"/>
    </row>
    <row r="26" spans="1:16">
      <c r="F26" s="102"/>
      <c r="I26" s="102"/>
      <c r="J26" s="102"/>
      <c r="K26" s="102"/>
    </row>
    <row r="27" spans="1:16">
      <c r="F27" s="102"/>
      <c r="G27" s="102"/>
      <c r="H27" s="102"/>
      <c r="I27" s="102"/>
      <c r="J27" s="102"/>
      <c r="K27" s="102"/>
    </row>
    <row r="28" spans="1:16">
      <c r="H28" s="102"/>
      <c r="I28" s="102"/>
      <c r="J28" s="102"/>
      <c r="K28" s="102"/>
    </row>
    <row r="29" spans="1:16">
      <c r="H29" s="102"/>
      <c r="I29" s="102"/>
      <c r="J29" s="102"/>
      <c r="K29" s="102"/>
    </row>
    <row r="30" spans="1:16">
      <c r="H30" s="102"/>
      <c r="I30" s="102"/>
      <c r="J30" s="102"/>
      <c r="K30" s="102"/>
    </row>
  </sheetData>
  <sheetProtection algorithmName="SHA-512" hashValue="+jL4XEOwl/IvOUsCZGNf3AnmFSMnPtmDLPZ+93l5aswwHg8TM/GYhjbKVEDMiSp4TNfYj/wykWp6Id9tN2pM7A==" saltValue="5NQPAD4Zb+RiseYDrNeUMg==" spinCount="100000" sheet="1" objects="1" scenarios="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workbookViewId="0">
      <selection activeCell="E24" sqref="E24"/>
    </sheetView>
  </sheetViews>
  <sheetFormatPr defaultColWidth="9.15234375" defaultRowHeight="12.45"/>
  <cols>
    <col min="1" max="3" width="9.15234375" style="152"/>
    <col min="4" max="4" width="27.4609375" style="20" bestFit="1" customWidth="1"/>
    <col min="5" max="5" width="73.921875" style="20" customWidth="1"/>
    <col min="6" max="6" width="9.15234375" style="20"/>
    <col min="7" max="9" width="9.15234375" style="142"/>
    <col min="10" max="10" width="26.4609375" style="142" customWidth="1"/>
    <col min="11" max="11" width="27.4609375" style="142" customWidth="1"/>
    <col min="12" max="16" width="9.15234375" style="142"/>
    <col min="17" max="17" width="6.15234375" style="142" customWidth="1"/>
    <col min="18" max="18" width="16.53515625" style="142" bestFit="1" customWidth="1"/>
    <col min="19" max="21" width="9.15234375" style="142"/>
    <col min="22" max="22" width="28.53515625" style="142" customWidth="1"/>
    <col min="23" max="16384" width="9.15234375" style="142"/>
  </cols>
  <sheetData>
    <row r="1" spans="1:25" s="145" customFormat="1">
      <c r="A1" s="145">
        <f>Application!H441</f>
        <v>6</v>
      </c>
      <c r="B1" s="145" t="s">
        <v>3190</v>
      </c>
      <c r="D1" s="145" t="str">
        <f>LOOKUP($A$1,'Lang Boat'!$A$3:$A$9,'Lang Boat'!D3:D9)</f>
        <v>パート1 - すべてのボート</v>
      </c>
      <c r="E1" s="145" t="str">
        <f>LOOKUP($A$1,'Lang Boat'!$A$3:$A$9,'Lang Boat'!E3:E9)</f>
        <v>PART2 - オーナーに申告義務がある項目</v>
      </c>
      <c r="F1" s="145" t="str">
        <f>LOOKUP($A$1,'Lang Boat'!$A$3:$A$9,'Lang Boat'!F3:F9)</f>
        <v>パート3 - すべてのボート</v>
      </c>
      <c r="G1" s="145" t="str">
        <f>LOOKUP($A$1,'Lang Boat'!$A$3:$A$9,'Lang Boat'!G3:G9)</f>
        <v>Yacht Name</v>
      </c>
      <c r="H1" s="145" t="str">
        <f>LOOKUP($A$1,'Lang Boat'!$A$3:$A$9,'Lang Boat'!H3:H9)</f>
        <v>Sail number</v>
      </c>
      <c r="I1" s="145" t="str">
        <f>LOOKUP($A$1,'Lang Boat'!$A$3:$A$9,'Lang Boat'!I3:I9)</f>
        <v>文字と数字の間にスペース不要</v>
      </c>
      <c r="J1" s="145" t="str">
        <f>LOOKUP($A$1,'Lang Boat'!$A$3:$A$9,'Lang Boat'!J3:J9)</f>
        <v>以前にIRCもしくはCHSの証書が発効されている場合</v>
      </c>
      <c r="K1" s="145" t="str">
        <f>LOOKUP($A$1,'Lang Boat'!$A$3:$A$9,'Lang Boat'!K3:K9)</f>
        <v>その証書番号</v>
      </c>
      <c r="L1" s="145" t="str">
        <f>LOOKUP($A$1,'Lang Boat'!$A$3:$A$9,'Lang Boat'!L3:L9)</f>
        <v>Design Class</v>
      </c>
      <c r="M1" s="145" t="str">
        <f>LOOKUP($A$1,'Lang Boat'!$A$3:$A$9,'Lang Boat'!M3:M9)</f>
        <v>Version</v>
      </c>
      <c r="N1" s="145" t="str">
        <f>LOOKUP($A$1,'Lang Boat'!$A$3:$A$9,'Lang Boat'!N3:N9)</f>
        <v>Hull No.</v>
      </c>
      <c r="O1" s="145" t="str">
        <f>LOOKUP($A$1,'Lang Boat'!$A$3:$A$9,'Lang Boat'!O3:O9)</f>
        <v>Modified?</v>
      </c>
      <c r="P1" s="145" t="str">
        <f>LOOKUP($A$1,'Lang Boat'!$A$3:$A$9,'Lang Boat'!P3:P9)</f>
        <v>Series date</v>
      </c>
      <c r="Q1" s="145" t="str">
        <f>LOOKUP($A$1,'Lang Boat'!$A$3:$A$9,'Lang Boat'!Q3:Q9)</f>
        <v>(YYYY)</v>
      </c>
      <c r="R1" s="145" t="str">
        <f>LOOKUP($A$1,'Lang Boat'!$A$3:$A$9,'Lang Boat'!R3:R9)</f>
        <v>Age  date</v>
      </c>
      <c r="S1" s="145" t="str">
        <f>LOOKUP($A$1,'Lang Boat'!$A$3:$A$9,'Lang Boat'!S3:S9)</f>
        <v>Designer</v>
      </c>
      <c r="T1" s="145" t="str">
        <f>LOOKUP($A$1,'Lang Boat'!$A$3:$A$9,'Lang Boat'!T3:T9)</f>
        <v>Builder</v>
      </c>
      <c r="U1" s="145" t="str">
        <f>LOOKUP($A$1,'Lang Boat'!$A$3:$A$9,'Lang Boat'!U3:U9)</f>
        <v>文字と数字の間にスペース不要</v>
      </c>
      <c r="V1" s="145" t="str">
        <f>LOOKUP($A$1,'Lang Boat'!$A$3:$A$9,'Lang Boat'!V3:V9)</f>
        <v>1号艇の進水年</v>
      </c>
      <c r="W1" s="145" t="str">
        <f>LOOKUP($A$1,'Lang Boat'!$A$3:$A$9,'Lang Boat'!W3:W9)</f>
        <v>初年度もしくは改造後の進水年</v>
      </c>
      <c r="X1" s="145" t="str">
        <f>LOOKUP($A$1,'Lang Boat'!$A$3:$A$9,'Lang Boat'!X3:X9)</f>
        <v>もし貴艇が、上のリストにない場合、デザインクラス名他詳細を下に記入して下さい。</v>
      </c>
      <c r="Y1" s="145" t="str">
        <f>LOOKUP($A$1,'Lang Boat'!$A$3:$A$9,'Lang Boat'!Y3:Y9)</f>
        <v>To be completed by all boats:</v>
      </c>
    </row>
    <row r="3" spans="1:25">
      <c r="A3" s="142">
        <v>1</v>
      </c>
      <c r="B3" s="142" t="s">
        <v>3191</v>
      </c>
      <c r="C3" s="142"/>
      <c r="D3" s="29" t="s">
        <v>4358</v>
      </c>
      <c r="E3" s="29" t="s">
        <v>4479</v>
      </c>
      <c r="F3" s="29" t="s">
        <v>4480</v>
      </c>
      <c r="G3" s="4" t="s">
        <v>3138</v>
      </c>
      <c r="H3" s="4" t="s">
        <v>3163</v>
      </c>
      <c r="I3" s="153" t="s">
        <v>908</v>
      </c>
      <c r="J3" s="4" t="s">
        <v>4335</v>
      </c>
      <c r="K3" s="4" t="s">
        <v>4334</v>
      </c>
      <c r="L3" s="4" t="s">
        <v>3946</v>
      </c>
      <c r="M3" s="4" t="s">
        <v>1521</v>
      </c>
      <c r="N3" s="74" t="s">
        <v>1518</v>
      </c>
      <c r="O3" s="62" t="s">
        <v>864</v>
      </c>
      <c r="P3" s="29" t="s">
        <v>400</v>
      </c>
      <c r="Q3" s="29" t="s">
        <v>4344</v>
      </c>
      <c r="R3" s="29" t="s">
        <v>2291</v>
      </c>
      <c r="S3" s="29" t="s">
        <v>868</v>
      </c>
      <c r="T3" s="148" t="s">
        <v>871</v>
      </c>
      <c r="U3" s="153" t="s">
        <v>4333</v>
      </c>
      <c r="V3" s="29" t="s">
        <v>4066</v>
      </c>
      <c r="W3" s="29" t="s">
        <v>2790</v>
      </c>
      <c r="X3" s="29" t="s">
        <v>2288</v>
      </c>
      <c r="Y3" s="29" t="s">
        <v>2287</v>
      </c>
    </row>
    <row r="4" spans="1:25">
      <c r="A4" s="142">
        <v>2</v>
      </c>
      <c r="B4" s="142" t="s">
        <v>3192</v>
      </c>
      <c r="C4" s="142"/>
      <c r="D4" s="4" t="s">
        <v>4359</v>
      </c>
      <c r="E4" s="4" t="s">
        <v>4600</v>
      </c>
      <c r="F4" s="4" t="s">
        <v>4481</v>
      </c>
      <c r="G4" s="4" t="s">
        <v>3745</v>
      </c>
      <c r="H4" s="4" t="s">
        <v>897</v>
      </c>
      <c r="I4" s="142" t="s">
        <v>98</v>
      </c>
      <c r="J4" s="306" t="s">
        <v>4337</v>
      </c>
      <c r="K4" s="306" t="s">
        <v>4336</v>
      </c>
      <c r="L4" s="4" t="s">
        <v>390</v>
      </c>
      <c r="M4" s="149" t="s">
        <v>1521</v>
      </c>
      <c r="N4" s="149" t="s">
        <v>3212</v>
      </c>
      <c r="O4" s="149" t="s">
        <v>3204</v>
      </c>
      <c r="P4" s="53" t="s">
        <v>4355</v>
      </c>
      <c r="Q4" s="53" t="s">
        <v>4345</v>
      </c>
      <c r="R4" s="142" t="s">
        <v>99</v>
      </c>
      <c r="S4" s="149" t="s">
        <v>3205</v>
      </c>
      <c r="T4" s="149" t="s">
        <v>3211</v>
      </c>
      <c r="U4" s="153" t="s">
        <v>4527</v>
      </c>
      <c r="V4" s="29" t="s">
        <v>4544</v>
      </c>
      <c r="W4" s="29" t="s">
        <v>4529</v>
      </c>
      <c r="X4" s="29" t="s">
        <v>4538</v>
      </c>
    </row>
    <row r="5" spans="1:25">
      <c r="A5" s="142">
        <v>3</v>
      </c>
      <c r="B5" s="142" t="s">
        <v>3193</v>
      </c>
      <c r="C5" s="142"/>
      <c r="D5" s="141" t="s">
        <v>4360</v>
      </c>
      <c r="E5" s="141" t="s">
        <v>4601</v>
      </c>
      <c r="F5" s="141" t="s">
        <v>4482</v>
      </c>
      <c r="G5" s="154" t="s">
        <v>2922</v>
      </c>
      <c r="H5" s="154" t="s">
        <v>2923</v>
      </c>
      <c r="I5" s="155" t="s">
        <v>2924</v>
      </c>
      <c r="J5" s="297" t="s">
        <v>4339</v>
      </c>
      <c r="K5" s="297" t="s">
        <v>4338</v>
      </c>
      <c r="L5" s="154" t="s">
        <v>2925</v>
      </c>
      <c r="M5" s="144" t="s">
        <v>2926</v>
      </c>
      <c r="N5" s="144" t="s">
        <v>2927</v>
      </c>
      <c r="O5" s="144" t="s">
        <v>2928</v>
      </c>
      <c r="P5" s="297" t="s">
        <v>4356</v>
      </c>
      <c r="Q5" s="297" t="s">
        <v>4346</v>
      </c>
      <c r="R5" s="144" t="s">
        <v>2929</v>
      </c>
      <c r="S5" s="144" t="s">
        <v>2930</v>
      </c>
      <c r="T5" s="144" t="s">
        <v>2931</v>
      </c>
      <c r="U5" s="153" t="s">
        <v>4528</v>
      </c>
      <c r="V5" s="29" t="s">
        <v>4545</v>
      </c>
      <c r="W5" s="29" t="s">
        <v>4530</v>
      </c>
      <c r="X5" s="29" t="s">
        <v>4539</v>
      </c>
    </row>
    <row r="6" spans="1:25">
      <c r="A6" s="142">
        <v>4</v>
      </c>
      <c r="B6" s="142" t="s">
        <v>3194</v>
      </c>
      <c r="C6" s="142"/>
      <c r="D6" s="29"/>
      <c r="E6" s="29"/>
      <c r="F6" s="29"/>
      <c r="G6" s="4"/>
      <c r="H6" s="4"/>
      <c r="I6" s="153"/>
      <c r="L6" s="4"/>
      <c r="V6" s="218"/>
      <c r="W6" s="218"/>
      <c r="X6" s="218"/>
    </row>
    <row r="7" spans="1:25">
      <c r="A7" s="142">
        <v>5</v>
      </c>
      <c r="B7" s="142" t="s">
        <v>3195</v>
      </c>
      <c r="C7" s="142"/>
      <c r="D7" s="141" t="s">
        <v>4361</v>
      </c>
      <c r="E7" s="141" t="s">
        <v>4398</v>
      </c>
      <c r="F7" s="141" t="s">
        <v>4483</v>
      </c>
      <c r="G7" s="154" t="s">
        <v>2678</v>
      </c>
      <c r="H7" s="154" t="s">
        <v>2679</v>
      </c>
      <c r="I7" s="155" t="s">
        <v>2680</v>
      </c>
      <c r="J7" s="297" t="s">
        <v>4341</v>
      </c>
      <c r="K7" s="297" t="s">
        <v>4340</v>
      </c>
      <c r="L7" s="154" t="s">
        <v>2681</v>
      </c>
      <c r="M7" s="144" t="s">
        <v>2682</v>
      </c>
      <c r="N7" s="144" t="s">
        <v>2683</v>
      </c>
      <c r="O7" s="144" t="s">
        <v>2684</v>
      </c>
      <c r="P7" s="297" t="s">
        <v>4357</v>
      </c>
      <c r="Q7" s="297" t="s">
        <v>4347</v>
      </c>
      <c r="R7" s="144" t="s">
        <v>2685</v>
      </c>
      <c r="S7" s="144" t="s">
        <v>2686</v>
      </c>
      <c r="T7" s="144" t="s">
        <v>2687</v>
      </c>
      <c r="U7" s="153" t="s">
        <v>5497</v>
      </c>
      <c r="V7" s="29" t="s">
        <v>5501</v>
      </c>
      <c r="W7" s="29" t="s">
        <v>5498</v>
      </c>
      <c r="X7" s="29" t="s">
        <v>5500</v>
      </c>
    </row>
    <row r="8" spans="1:25" s="150" customFormat="1" ht="14.15">
      <c r="A8" s="150">
        <v>6</v>
      </c>
      <c r="B8" s="150" t="s">
        <v>3110</v>
      </c>
      <c r="D8" s="29" t="s">
        <v>4362</v>
      </c>
      <c r="E8" s="29" t="s">
        <v>4602</v>
      </c>
      <c r="F8" s="29" t="s">
        <v>4484</v>
      </c>
      <c r="G8" s="112" t="s">
        <v>203</v>
      </c>
      <c r="H8" s="112" t="s">
        <v>3163</v>
      </c>
      <c r="I8" s="111" t="s">
        <v>3754</v>
      </c>
      <c r="J8" s="111" t="s">
        <v>4343</v>
      </c>
      <c r="K8" s="111" t="s">
        <v>4342</v>
      </c>
      <c r="L8" s="112" t="s">
        <v>3946</v>
      </c>
      <c r="M8" s="112" t="s">
        <v>1521</v>
      </c>
      <c r="N8" s="147" t="s">
        <v>1518</v>
      </c>
      <c r="O8" s="107" t="s">
        <v>864</v>
      </c>
      <c r="P8" s="111" t="s">
        <v>400</v>
      </c>
      <c r="Q8" s="111" t="s">
        <v>4344</v>
      </c>
      <c r="R8" s="114" t="s">
        <v>401</v>
      </c>
      <c r="S8" s="114" t="s">
        <v>868</v>
      </c>
      <c r="T8" s="151" t="s">
        <v>871</v>
      </c>
      <c r="U8" s="108" t="s">
        <v>3754</v>
      </c>
      <c r="V8" s="287" t="s">
        <v>1885</v>
      </c>
      <c r="W8" s="287" t="s">
        <v>1886</v>
      </c>
      <c r="X8" s="288" t="s">
        <v>1887</v>
      </c>
      <c r="Y8" s="29" t="s">
        <v>2287</v>
      </c>
    </row>
    <row r="9" spans="1:25" s="510" customFormat="1">
      <c r="A9" s="510">
        <v>7</v>
      </c>
      <c r="B9" s="510" t="s">
        <v>4775</v>
      </c>
      <c r="D9" s="510" t="s">
        <v>4805</v>
      </c>
      <c r="E9" s="510" t="s">
        <v>4806</v>
      </c>
      <c r="F9" s="510" t="s">
        <v>4807</v>
      </c>
      <c r="G9" s="510" t="s">
        <v>4808</v>
      </c>
      <c r="H9" s="510" t="s">
        <v>4809</v>
      </c>
      <c r="J9" s="510" t="s">
        <v>4810</v>
      </c>
      <c r="K9" s="510" t="s">
        <v>4811</v>
      </c>
      <c r="L9" s="510" t="s">
        <v>4812</v>
      </c>
      <c r="M9" s="510" t="s">
        <v>4813</v>
      </c>
      <c r="N9" s="510" t="s">
        <v>4814</v>
      </c>
      <c r="O9" s="510" t="s">
        <v>2684</v>
      </c>
      <c r="P9" s="510" t="s">
        <v>4815</v>
      </c>
      <c r="Q9" s="510" t="s">
        <v>4816</v>
      </c>
      <c r="R9" s="510" t="s">
        <v>4817</v>
      </c>
      <c r="S9" s="510" t="s">
        <v>4818</v>
      </c>
      <c r="T9" s="510" t="s">
        <v>4819</v>
      </c>
      <c r="U9" s="510" t="s">
        <v>4820</v>
      </c>
      <c r="V9" s="510" t="s">
        <v>4821</v>
      </c>
      <c r="W9" s="510" t="s">
        <v>4822</v>
      </c>
      <c r="X9" s="510" t="s">
        <v>4823</v>
      </c>
      <c r="Y9" s="510" t="s">
        <v>4824</v>
      </c>
    </row>
    <row r="11" spans="1:25">
      <c r="A11" s="145"/>
      <c r="B11" s="145" t="s">
        <v>3190</v>
      </c>
      <c r="C11" s="145"/>
      <c r="D11" s="145" t="str">
        <f>LOOKUP($A$1,'Lang Boat'!$A$3:$A$9,'Lang Boat'!D13:D19)</f>
        <v>DESIGN and STANDARD HULLS</v>
      </c>
      <c r="E11" s="145" t="str">
        <f>LOOKUP($A$1,'Lang Boat'!$A$3:$A$9,'Lang Boat'!E13:E19)</f>
        <v>These designs may use use simplied form</v>
      </c>
      <c r="F11" s="145" t="str">
        <f>LOOKUP($A$1,'Lang Boat'!$A$3:$A$9,'Lang Boat'!F13:F19)</f>
        <v>Click here and use arrow on right</v>
      </c>
      <c r="G11" s="145">
        <f>LOOKUP($A$1,'Lang Boat'!$A$3:$A$9,'Lang Boat'!G13:G19)</f>
        <v>0</v>
      </c>
      <c r="H11" s="145">
        <f>LOOKUP($A$1,'Lang Boat'!$A$3:$A$9,'Lang Boat'!H13:H19)</f>
        <v>0</v>
      </c>
    </row>
    <row r="13" spans="1:25">
      <c r="A13" s="142">
        <v>1</v>
      </c>
      <c r="B13" s="142" t="s">
        <v>3191</v>
      </c>
      <c r="C13" s="142"/>
      <c r="D13" s="29" t="s">
        <v>4492</v>
      </c>
      <c r="E13" s="53" t="s">
        <v>4533</v>
      </c>
      <c r="F13" s="53" t="s">
        <v>1447</v>
      </c>
    </row>
    <row r="14" spans="1:25">
      <c r="A14" s="142">
        <v>2</v>
      </c>
      <c r="B14" s="142" t="s">
        <v>3192</v>
      </c>
      <c r="C14" s="142"/>
      <c r="D14" s="29" t="s">
        <v>4531</v>
      </c>
      <c r="E14" s="53" t="s">
        <v>4534</v>
      </c>
      <c r="F14" s="53" t="s">
        <v>4536</v>
      </c>
    </row>
    <row r="15" spans="1:25">
      <c r="A15" s="142">
        <v>3</v>
      </c>
      <c r="B15" s="142" t="s">
        <v>3193</v>
      </c>
      <c r="C15" s="142"/>
      <c r="D15" s="29" t="s">
        <v>4532</v>
      </c>
      <c r="E15" s="53" t="s">
        <v>4535</v>
      </c>
      <c r="F15" s="20" t="s">
        <v>4537</v>
      </c>
    </row>
    <row r="16" spans="1:25">
      <c r="A16" s="142">
        <v>4</v>
      </c>
      <c r="B16" s="142" t="s">
        <v>3194</v>
      </c>
      <c r="C16" s="142"/>
      <c r="D16" s="29"/>
    </row>
    <row r="17" spans="1:6">
      <c r="A17" s="142">
        <v>5</v>
      </c>
      <c r="B17" s="142" t="s">
        <v>3195</v>
      </c>
      <c r="C17" s="142"/>
      <c r="D17" s="307" t="s">
        <v>5188</v>
      </c>
      <c r="E17" s="307" t="s">
        <v>5189</v>
      </c>
      <c r="F17" s="307" t="s">
        <v>5190</v>
      </c>
    </row>
    <row r="18" spans="1:6" ht="14.15">
      <c r="A18" s="150">
        <v>6</v>
      </c>
      <c r="B18" s="150" t="s">
        <v>3110</v>
      </c>
      <c r="C18" s="150"/>
      <c r="D18" s="29" t="s">
        <v>4492</v>
      </c>
      <c r="E18" s="53" t="s">
        <v>4533</v>
      </c>
      <c r="F18" s="53" t="s">
        <v>1447</v>
      </c>
    </row>
    <row r="19" spans="1:6" s="510" customFormat="1">
      <c r="A19" s="510">
        <v>7</v>
      </c>
      <c r="B19" s="510" t="s">
        <v>4775</v>
      </c>
      <c r="D19" s="543" t="s">
        <v>5191</v>
      </c>
      <c r="E19" s="543" t="s">
        <v>5192</v>
      </c>
      <c r="F19" s="543" t="s">
        <v>5193</v>
      </c>
    </row>
  </sheetData>
  <sheetProtection algorithmName="SHA-512" hashValue="f86mGnc/Wjmilt4jLsKbngcVUpWgYtBFmx4b5yAf2b4/CLduOJfS6Gwl3tW5q+9XFTGn9x0CWZrJXt3VEpLjGA==" saltValue="cVLZvVYi+c3eWy2dVJMDyw==" spinCount="100000" sheet="1" objects="1" scenarios="1"/>
  <phoneticPr fontId="19"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611C7E240DC9459C3C5A1EFAF4FAF2" ma:contentTypeVersion="14" ma:contentTypeDescription="新しいドキュメントを作成します。" ma:contentTypeScope="" ma:versionID="dd62984c13f756a4e7befdac141859b7">
  <xsd:schema xmlns:xsd="http://www.w3.org/2001/XMLSchema" xmlns:xs="http://www.w3.org/2001/XMLSchema" xmlns:p="http://schemas.microsoft.com/office/2006/metadata/properties" xmlns:ns2="103c9704-0ae6-4904-85ab-8cde69ded979" xmlns:ns3="d2f7153e-e68d-460f-89d2-48a284188e4d" targetNamespace="http://schemas.microsoft.com/office/2006/metadata/properties" ma:root="true" ma:fieldsID="401dd7a65c20bf88569d4a98c23b7033" ns2:_="" ns3:_="">
    <xsd:import namespace="103c9704-0ae6-4904-85ab-8cde69ded979"/>
    <xsd:import namespace="d2f7153e-e68d-460f-89d2-48a284188e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c9704-0ae6-4904-85ab-8cde69ded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a56c2ec-3776-4206-9ba0-09202625364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x65e5__x4ed8_" ma:index="20"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f7153e-e68d-460f-89d2-48a284188e4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7a1d60b-230e-4dbf-8b9f-5a935b9cb3bb}" ma:internalName="TaxCatchAll" ma:showField="CatchAllData" ma:web="d2f7153e-e68d-460f-89d2-48a284188e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3c9704-0ae6-4904-85ab-8cde69ded979">
      <Terms xmlns="http://schemas.microsoft.com/office/infopath/2007/PartnerControls"/>
    </lcf76f155ced4ddcb4097134ff3c332f>
    <_x65e5__x4ed8_ xmlns="103c9704-0ae6-4904-85ab-8cde69ded979" xsi:nil="true"/>
    <TaxCatchAll xmlns="d2f7153e-e68d-460f-89d2-48a284188e4d" xsi:nil="true"/>
  </documentManagement>
</p:properties>
</file>

<file path=customXml/itemProps1.xml><?xml version="1.0" encoding="utf-8"?>
<ds:datastoreItem xmlns:ds="http://schemas.openxmlformats.org/officeDocument/2006/customXml" ds:itemID="{5D2825C6-740A-4DAA-8BEA-9210EB4A2CD7}"/>
</file>

<file path=customXml/itemProps2.xml><?xml version="1.0" encoding="utf-8"?>
<ds:datastoreItem xmlns:ds="http://schemas.openxmlformats.org/officeDocument/2006/customXml" ds:itemID="{08F6831E-E6EF-45BC-A86F-A2F6192DAF83}"/>
</file>

<file path=customXml/itemProps3.xml><?xml version="1.0" encoding="utf-8"?>
<ds:datastoreItem xmlns:ds="http://schemas.openxmlformats.org/officeDocument/2006/customXml" ds:itemID="{E4B52C33-00C6-4BD4-8B2F-D4662F7054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20</vt:i4>
      </vt:variant>
      <vt:variant>
        <vt:lpstr>グラフ</vt:lpstr>
      </vt:variant>
      <vt:variant>
        <vt:i4>1</vt:i4>
      </vt:variant>
      <vt:variant>
        <vt:lpstr>名前付き一覧</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Validation!Print_Area</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晴彦 角</cp:lastModifiedBy>
  <cp:lastPrinted>2017-10-24T12:57:43Z</cp:lastPrinted>
  <dcterms:created xsi:type="dcterms:W3CDTF">1999-09-24T13:50:40Z</dcterms:created>
  <dcterms:modified xsi:type="dcterms:W3CDTF">2025-12-20T09:07:19Z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0x01010062611C7E240DC9459C3C5A1EFAF4FAF2</vt:lpwstr>
  </property>
</Properties>
</file>